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24226"/>
  <mc:AlternateContent xmlns:mc="http://schemas.openxmlformats.org/markup-compatibility/2006">
    <mc:Choice Requires="x15">
      <x15ac:absPath xmlns:x15ac="http://schemas.microsoft.com/office/spreadsheetml/2010/11/ac" url="F:\INFORME DE ACTIVIDADES 10 CTO 192 2022\"/>
    </mc:Choice>
  </mc:AlternateContent>
  <xr:revisionPtr revIDLastSave="0" documentId="8_{26DD3900-DF37-47DF-A4FD-6B0FCFD9DA32}" xr6:coauthVersionLast="47" xr6:coauthVersionMax="47" xr10:uidLastSave="{00000000-0000-0000-0000-000000000000}"/>
  <bookViews>
    <workbookView xWindow="-120" yWindow="-120" windowWidth="29040" windowHeight="15840" tabRatio="882" activeTab="1" xr2:uid="{00000000-000D-0000-FFFF-FFFF00000000}"/>
  </bookViews>
  <sheets>
    <sheet name="Activos de información" sheetId="43" r:id="rId1"/>
    <sheet name="R. Seguridad de la Información" sheetId="1" r:id="rId2"/>
    <sheet name="Terminos y definiciones" sheetId="36" r:id="rId3"/>
    <sheet name="Tabla de Controles Anexo A" sheetId="38" r:id="rId4"/>
    <sheet name="Instructivo" sheetId="20" state="hidden" r:id="rId5"/>
    <sheet name="Matriz Calor Inherente" sheetId="18" state="hidden" r:id="rId6"/>
    <sheet name="Matriz Calor Residual" sheetId="19" state="hidden" r:id="rId7"/>
    <sheet name="Tabla probabilidad" sheetId="12" state="hidden" r:id="rId8"/>
    <sheet name="Tabla Impacto" sheetId="13" state="hidden" r:id="rId9"/>
    <sheet name="Tabla Valoración controles" sheetId="15" state="hidden" r:id="rId10"/>
    <sheet name="Opciones Tratamiento" sheetId="16" state="hidden" r:id="rId11"/>
    <sheet name="Lista" sheetId="44" state="hidden" r:id="rId12"/>
    <sheet name="Listas" sheetId="29" state="hidden" r:id="rId13"/>
    <sheet name="Hoja1" sheetId="11" state="hidden" r:id="rId14"/>
  </sheets>
  <definedNames>
    <definedName name="_xlnm._FilterDatabase" localSheetId="0" hidden="1">'Activos de información'!$A$1:$BD$7</definedName>
  </definedNames>
  <calcPr calcId="191029"/>
  <pivotCaches>
    <pivotCache cacheId="2"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7" i="43" l="1"/>
  <c r="AO7" i="43" s="1"/>
  <c r="AJ8" i="43"/>
  <c r="AL8" i="43"/>
  <c r="AO8" i="43" s="1"/>
  <c r="AJ9" i="43"/>
  <c r="AL9" i="43"/>
  <c r="AO9" i="43" s="1"/>
  <c r="AJ10" i="43"/>
  <c r="AL10" i="43"/>
  <c r="AJ11" i="43"/>
  <c r="AL11" i="43"/>
  <c r="AO11" i="43" s="1"/>
  <c r="AJ12" i="43"/>
  <c r="AL12" i="43"/>
  <c r="AJ13" i="43"/>
  <c r="AL13" i="43"/>
  <c r="AJ14" i="43"/>
  <c r="AL14" i="43"/>
  <c r="AJ15" i="43"/>
  <c r="AO15" i="43" s="1"/>
  <c r="AL15" i="43"/>
  <c r="AJ16" i="43"/>
  <c r="AL16" i="43"/>
  <c r="AJ17" i="43"/>
  <c r="AL17" i="43"/>
  <c r="AJ18" i="43"/>
  <c r="AL18" i="43"/>
  <c r="AJ19" i="43"/>
  <c r="AL19" i="43"/>
  <c r="AJ20" i="43"/>
  <c r="AL20" i="43"/>
  <c r="AJ21" i="43"/>
  <c r="AL21" i="43"/>
  <c r="AJ22" i="43"/>
  <c r="AL22" i="43"/>
  <c r="AJ23" i="43"/>
  <c r="AL23" i="43"/>
  <c r="AO23" i="43"/>
  <c r="AJ24" i="43"/>
  <c r="AL24" i="43"/>
  <c r="AO24" i="43" s="1"/>
  <c r="AJ25" i="43"/>
  <c r="AL25" i="43"/>
  <c r="AO25" i="43" s="1"/>
  <c r="AJ26" i="43"/>
  <c r="AL26" i="43"/>
  <c r="AJ27" i="43"/>
  <c r="AL27" i="43"/>
  <c r="AO27" i="43" s="1"/>
  <c r="AJ28" i="43"/>
  <c r="AL28" i="43"/>
  <c r="AJ29" i="43"/>
  <c r="AL29" i="43"/>
  <c r="AJ30" i="43"/>
  <c r="AL30" i="43"/>
  <c r="AJ31" i="43"/>
  <c r="AL31" i="43"/>
  <c r="AO31" i="43" s="1"/>
  <c r="AJ32" i="43"/>
  <c r="AL32" i="43"/>
  <c r="AJ33" i="43"/>
  <c r="AL33" i="43"/>
  <c r="AJ34" i="43"/>
  <c r="AL34" i="43"/>
  <c r="AJ35" i="43"/>
  <c r="AL35" i="43"/>
  <c r="AO35" i="43" s="1"/>
  <c r="AJ36" i="43"/>
  <c r="AL36" i="43"/>
  <c r="AJ37" i="43"/>
  <c r="AL37" i="43"/>
  <c r="AJ38" i="43"/>
  <c r="AL38" i="43"/>
  <c r="AJ39" i="43"/>
  <c r="AL39" i="43"/>
  <c r="AO39" i="43"/>
  <c r="AJ40" i="43"/>
  <c r="AL40" i="43"/>
  <c r="AO40" i="43" s="1"/>
  <c r="AJ41" i="43"/>
  <c r="AL41" i="43"/>
  <c r="AO41" i="43" s="1"/>
  <c r="AJ42" i="43"/>
  <c r="AL42" i="43"/>
  <c r="AJ43" i="43"/>
  <c r="AL43" i="43"/>
  <c r="AJ44" i="43"/>
  <c r="AL44" i="43"/>
  <c r="AJ45" i="43"/>
  <c r="AL45" i="43"/>
  <c r="AJ46" i="43"/>
  <c r="AL46" i="43"/>
  <c r="AJ47" i="43"/>
  <c r="AL47" i="43"/>
  <c r="AO47" i="43" s="1"/>
  <c r="AJ48" i="43"/>
  <c r="AL48" i="43"/>
  <c r="AJ49" i="43"/>
  <c r="AL49" i="43"/>
  <c r="AJ50" i="43"/>
  <c r="AL50" i="43"/>
  <c r="AJ51" i="43"/>
  <c r="AL51" i="43"/>
  <c r="AJ52" i="43"/>
  <c r="AL52" i="43"/>
  <c r="AJ53" i="43"/>
  <c r="AL53" i="43"/>
  <c r="AJ54" i="43"/>
  <c r="AL54" i="43"/>
  <c r="AJ55" i="43"/>
  <c r="AL55" i="43"/>
  <c r="AO55" i="43"/>
  <c r="AJ56" i="43"/>
  <c r="AL56" i="43"/>
  <c r="AO56" i="43" s="1"/>
  <c r="AJ57" i="43"/>
  <c r="AL57" i="43"/>
  <c r="AO57" i="43" s="1"/>
  <c r="AJ58" i="43"/>
  <c r="AL58" i="43"/>
  <c r="AJ59" i="43"/>
  <c r="AL59" i="43"/>
  <c r="AO59" i="43" s="1"/>
  <c r="AJ60" i="43"/>
  <c r="AL60" i="43"/>
  <c r="AJ61" i="43"/>
  <c r="AL61" i="43"/>
  <c r="AJ62" i="43"/>
  <c r="AL62" i="43"/>
  <c r="AJ63" i="43"/>
  <c r="AL63" i="43"/>
  <c r="AO63" i="43" s="1"/>
  <c r="AJ64" i="43"/>
  <c r="AL64" i="43"/>
  <c r="AJ65" i="43"/>
  <c r="AL65" i="43"/>
  <c r="AO65" i="43" s="1"/>
  <c r="AJ66" i="43"/>
  <c r="AL66" i="43"/>
  <c r="AJ67" i="43"/>
  <c r="AL67" i="43"/>
  <c r="AJ68" i="43"/>
  <c r="AL68" i="43"/>
  <c r="AJ69" i="43"/>
  <c r="AL69" i="43"/>
  <c r="AJ70" i="43"/>
  <c r="AL70" i="43"/>
  <c r="AJ71" i="43"/>
  <c r="AL71" i="43"/>
  <c r="AO71" i="43"/>
  <c r="AJ72" i="43"/>
  <c r="AL72" i="43"/>
  <c r="AO72" i="43" s="1"/>
  <c r="AJ73" i="43"/>
  <c r="AL73" i="43"/>
  <c r="AO73" i="43" s="1"/>
  <c r="AJ74" i="43"/>
  <c r="AL74" i="43"/>
  <c r="AJ75" i="43"/>
  <c r="AL75" i="43"/>
  <c r="AJ76" i="43"/>
  <c r="AL76" i="43"/>
  <c r="AJ77" i="43"/>
  <c r="AL77" i="43"/>
  <c r="AJ78" i="43"/>
  <c r="AL78" i="43"/>
  <c r="AJ79" i="43"/>
  <c r="AL79" i="43"/>
  <c r="AO79" i="43" s="1"/>
  <c r="AJ80" i="43"/>
  <c r="AL80" i="43"/>
  <c r="AO80" i="43" s="1"/>
  <c r="AJ81" i="43"/>
  <c r="AL81" i="43"/>
  <c r="AO81" i="43" s="1"/>
  <c r="AJ82" i="43"/>
  <c r="AL82" i="43"/>
  <c r="AJ83" i="43"/>
  <c r="AL83" i="43"/>
  <c r="AO83" i="43" s="1"/>
  <c r="AJ84" i="43"/>
  <c r="AL84" i="43"/>
  <c r="AJ85" i="43"/>
  <c r="AL85" i="43"/>
  <c r="AJ86" i="43"/>
  <c r="AL86" i="43"/>
  <c r="AJ87" i="43"/>
  <c r="AL87" i="43"/>
  <c r="AO87" i="43"/>
  <c r="AJ88" i="43"/>
  <c r="AL88" i="43"/>
  <c r="AO88" i="43" s="1"/>
  <c r="AJ89" i="43"/>
  <c r="AL89" i="43"/>
  <c r="AO89" i="43" s="1"/>
  <c r="AJ90" i="43"/>
  <c r="AL90" i="43"/>
  <c r="AJ91" i="43"/>
  <c r="AL91" i="43"/>
  <c r="AO91" i="43" s="1"/>
  <c r="AJ92" i="43"/>
  <c r="AL92" i="43"/>
  <c r="AJ93" i="43"/>
  <c r="AL93" i="43"/>
  <c r="AJ94" i="43"/>
  <c r="AL94" i="43"/>
  <c r="AJ95" i="43"/>
  <c r="AL95" i="43"/>
  <c r="AO95" i="43"/>
  <c r="AJ96" i="43"/>
  <c r="AL96" i="43"/>
  <c r="AO96" i="43" s="1"/>
  <c r="AJ97" i="43"/>
  <c r="AL97" i="43"/>
  <c r="AJ98" i="43"/>
  <c r="AL98" i="43"/>
  <c r="AJ99" i="43"/>
  <c r="AL99" i="43"/>
  <c r="AJ100" i="43"/>
  <c r="AL100" i="43"/>
  <c r="AO51" i="43" l="1"/>
  <c r="AO43" i="43"/>
  <c r="AO64" i="43"/>
  <c r="AO49" i="43"/>
  <c r="AO19" i="43"/>
  <c r="AO48" i="43"/>
  <c r="AO33" i="43"/>
  <c r="AO32" i="43"/>
  <c r="AO17" i="43"/>
  <c r="AO99" i="43"/>
  <c r="AO16" i="43"/>
  <c r="AO75" i="43"/>
  <c r="AO97" i="43"/>
  <c r="AO67" i="43"/>
  <c r="AO100" i="43"/>
  <c r="AO93" i="43"/>
  <c r="AO92" i="43"/>
  <c r="AO85" i="43"/>
  <c r="AO84" i="43"/>
  <c r="AO77" i="43"/>
  <c r="AO76" i="43"/>
  <c r="AO69" i="43"/>
  <c r="AO68" i="43"/>
  <c r="AO61" i="43"/>
  <c r="AO60" i="43"/>
  <c r="AO53" i="43"/>
  <c r="AO52" i="43"/>
  <c r="AO45" i="43"/>
  <c r="AO44" i="43"/>
  <c r="AO37" i="43"/>
  <c r="AO36" i="43"/>
  <c r="AO29" i="43"/>
  <c r="AO28" i="43"/>
  <c r="AO21" i="43"/>
  <c r="AO20" i="43"/>
  <c r="AO13" i="43"/>
  <c r="AO12" i="43"/>
  <c r="AO98" i="43"/>
  <c r="AO94" i="43"/>
  <c r="AO90" i="43"/>
  <c r="AO86" i="43"/>
  <c r="AO82" i="43"/>
  <c r="AO78" i="43"/>
  <c r="AO74" i="43"/>
  <c r="AO70" i="43"/>
  <c r="AO66" i="43"/>
  <c r="AO62" i="43"/>
  <c r="AO58" i="43"/>
  <c r="AO54" i="43"/>
  <c r="AO50" i="43"/>
  <c r="AO46" i="43"/>
  <c r="AO42" i="43"/>
  <c r="AO38" i="43"/>
  <c r="AO34" i="43"/>
  <c r="AO30" i="43"/>
  <c r="AO26" i="43"/>
  <c r="AO22" i="43"/>
  <c r="AO18" i="43"/>
  <c r="AO14" i="43"/>
  <c r="AO10" i="43"/>
  <c r="D35" i="11" l="1"/>
  <c r="C35" i="11"/>
  <c r="D34" i="11"/>
  <c r="D33" i="11"/>
  <c r="C34" i="11"/>
  <c r="C33" i="11"/>
  <c r="Z9" i="1" l="1"/>
  <c r="W9" i="1"/>
  <c r="N9" i="1"/>
  <c r="O9" i="1" s="1"/>
  <c r="Q61" i="1"/>
  <c r="Q58" i="1"/>
  <c r="Q56" i="1"/>
  <c r="Q30" i="1"/>
  <c r="Q68" i="1"/>
  <c r="Q16" i="1"/>
  <c r="Q28" i="1"/>
  <c r="Q48" i="1"/>
  <c r="Q59" i="1"/>
  <c r="Q53" i="1"/>
  <c r="Q29" i="1"/>
  <c r="Q37" i="1"/>
  <c r="Q47" i="1"/>
  <c r="Q26" i="1"/>
  <c r="Q34" i="1"/>
  <c r="Q62" i="1"/>
  <c r="Q46" i="1"/>
  <c r="Q55" i="1"/>
  <c r="Q38" i="1"/>
  <c r="Q23" i="1"/>
  <c r="Q64" i="1"/>
  <c r="Q49" i="1"/>
  <c r="Q65" i="1"/>
  <c r="Q36" i="1"/>
  <c r="Q40" i="1"/>
  <c r="Q20" i="1"/>
  <c r="Q18" i="1"/>
  <c r="Q54" i="1"/>
  <c r="Q17" i="1"/>
  <c r="Q31" i="1"/>
  <c r="Q25" i="1"/>
  <c r="Q32" i="1"/>
  <c r="Q41" i="1"/>
  <c r="Q19" i="1"/>
  <c r="Q35" i="1"/>
  <c r="Q66" i="1"/>
  <c r="Q22" i="1"/>
  <c r="Q67" i="1"/>
  <c r="Q52" i="1"/>
  <c r="Q42" i="1"/>
  <c r="Q24" i="1"/>
  <c r="Q50" i="1"/>
  <c r="Q60" i="1"/>
  <c r="Q43" i="1"/>
  <c r="Q44" i="1"/>
  <c r="F221" i="13" l="1"/>
  <c r="F211" i="13"/>
  <c r="F212" i="13"/>
  <c r="F213" i="13"/>
  <c r="F214" i="13"/>
  <c r="F215" i="13"/>
  <c r="F216" i="13"/>
  <c r="F217" i="13"/>
  <c r="F218" i="13"/>
  <c r="F219" i="13"/>
  <c r="F220" i="13"/>
  <c r="F210" i="13"/>
  <c r="Q14" i="1"/>
  <c r="Q13" i="1"/>
  <c r="Q10" i="1"/>
  <c r="Q11" i="1"/>
  <c r="B221" i="13" a="1"/>
  <c r="Q12" i="1"/>
  <c r="B221" i="13" l="1"/>
  <c r="W51" i="1"/>
  <c r="W46" i="1"/>
  <c r="W40"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Z68" i="1" l="1"/>
  <c r="W68" i="1"/>
  <c r="Z67" i="1"/>
  <c r="W67" i="1"/>
  <c r="Z66" i="1"/>
  <c r="W66" i="1"/>
  <c r="Z65" i="1"/>
  <c r="W65" i="1"/>
  <c r="Z64" i="1"/>
  <c r="W64" i="1"/>
  <c r="Z63" i="1"/>
  <c r="W63" i="1"/>
  <c r="N63" i="1"/>
  <c r="O63" i="1" s="1"/>
  <c r="Z62" i="1"/>
  <c r="W62" i="1"/>
  <c r="Z61" i="1"/>
  <c r="W61" i="1"/>
  <c r="Z60" i="1"/>
  <c r="W60" i="1"/>
  <c r="Z59" i="1"/>
  <c r="W59" i="1"/>
  <c r="Z58" i="1"/>
  <c r="W58" i="1"/>
  <c r="Z57" i="1"/>
  <c r="W57" i="1"/>
  <c r="N57" i="1"/>
  <c r="O57" i="1" s="1"/>
  <c r="Z56" i="1"/>
  <c r="W56" i="1"/>
  <c r="Z55" i="1"/>
  <c r="W55" i="1"/>
  <c r="Z54" i="1"/>
  <c r="W54" i="1"/>
  <c r="Z53" i="1"/>
  <c r="W53" i="1"/>
  <c r="Z52" i="1"/>
  <c r="W52" i="1"/>
  <c r="Z51" i="1"/>
  <c r="N51" i="1"/>
  <c r="O51" i="1" s="1"/>
  <c r="Z50" i="1"/>
  <c r="W50" i="1"/>
  <c r="Z49" i="1"/>
  <c r="W49" i="1"/>
  <c r="Z48" i="1"/>
  <c r="W48" i="1"/>
  <c r="Z47" i="1"/>
  <c r="W47" i="1"/>
  <c r="Z46" i="1"/>
  <c r="Z45" i="1"/>
  <c r="W45" i="1"/>
  <c r="N45" i="1"/>
  <c r="O45" i="1" s="1"/>
  <c r="Z44" i="1"/>
  <c r="W44" i="1"/>
  <c r="Z43" i="1"/>
  <c r="W43" i="1"/>
  <c r="Z42" i="1"/>
  <c r="W42" i="1"/>
  <c r="Z41" i="1"/>
  <c r="W41" i="1"/>
  <c r="Z40" i="1"/>
  <c r="Z39" i="1"/>
  <c r="W39" i="1"/>
  <c r="N39" i="1"/>
  <c r="O39" i="1" s="1"/>
  <c r="Z38" i="1"/>
  <c r="W38" i="1"/>
  <c r="Z37" i="1"/>
  <c r="W37" i="1"/>
  <c r="Z36" i="1"/>
  <c r="W36" i="1"/>
  <c r="Z35" i="1"/>
  <c r="W35" i="1"/>
  <c r="Z34" i="1"/>
  <c r="W34" i="1"/>
  <c r="Z33" i="1"/>
  <c r="W33" i="1"/>
  <c r="N33" i="1"/>
  <c r="O33" i="1" s="1"/>
  <c r="Z32" i="1"/>
  <c r="W32" i="1"/>
  <c r="Z31" i="1"/>
  <c r="W31" i="1"/>
  <c r="Z30" i="1"/>
  <c r="W30" i="1"/>
  <c r="Z29" i="1"/>
  <c r="W29" i="1"/>
  <c r="Z28" i="1"/>
  <c r="W28" i="1"/>
  <c r="Z27" i="1"/>
  <c r="W27" i="1"/>
  <c r="N27" i="1"/>
  <c r="O27" i="1" s="1"/>
  <c r="Z26" i="1"/>
  <c r="W26" i="1"/>
  <c r="Z25" i="1"/>
  <c r="W25" i="1"/>
  <c r="Z24" i="1"/>
  <c r="W24" i="1"/>
  <c r="Z23" i="1"/>
  <c r="W23" i="1"/>
  <c r="Z22" i="1"/>
  <c r="W22" i="1"/>
  <c r="Z21" i="1"/>
  <c r="W21" i="1"/>
  <c r="N21" i="1"/>
  <c r="O21" i="1" s="1"/>
  <c r="N15" i="1"/>
  <c r="W14" i="1"/>
  <c r="W13" i="1"/>
  <c r="W12" i="1"/>
  <c r="Z20" i="1"/>
  <c r="W20" i="1"/>
  <c r="Z19" i="1"/>
  <c r="W19" i="1"/>
  <c r="Z18" i="1"/>
  <c r="W18" i="1"/>
  <c r="Z17" i="1"/>
  <c r="W17" i="1"/>
  <c r="Z16" i="1"/>
  <c r="W16" i="1"/>
  <c r="Z15" i="1"/>
  <c r="W15" i="1"/>
  <c r="AH49" i="1" l="1"/>
  <c r="AG49" i="1" s="1"/>
  <c r="AH50" i="1"/>
  <c r="AG50" i="1" s="1"/>
  <c r="O15" i="1"/>
  <c r="AD63" i="1"/>
  <c r="AD57" i="1"/>
  <c r="AD51" i="1"/>
  <c r="AD45" i="1"/>
  <c r="AD49" i="1"/>
  <c r="AD50" i="1"/>
  <c r="AD39" i="1"/>
  <c r="AD33" i="1"/>
  <c r="AD27" i="1"/>
  <c r="AD21" i="1"/>
  <c r="AD15" i="1"/>
  <c r="AE63" i="1" l="1"/>
  <c r="AF63" i="1"/>
  <c r="AD64" i="1" s="1"/>
  <c r="AE64" i="1" s="1"/>
  <c r="AE57" i="1"/>
  <c r="AF57" i="1"/>
  <c r="AD58" i="1" s="1"/>
  <c r="AF58" i="1" s="1"/>
  <c r="AD59" i="1" s="1"/>
  <c r="AE51" i="1"/>
  <c r="AF51" i="1"/>
  <c r="AD52" i="1" s="1"/>
  <c r="AF52" i="1" s="1"/>
  <c r="AD53" i="1" s="1"/>
  <c r="AE50" i="1"/>
  <c r="AF50" i="1"/>
  <c r="AE49" i="1"/>
  <c r="AF49" i="1"/>
  <c r="AE45" i="1"/>
  <c r="AF45" i="1"/>
  <c r="AE39" i="1"/>
  <c r="AF39" i="1"/>
  <c r="AD40" i="1" s="1"/>
  <c r="AF40" i="1" s="1"/>
  <c r="AD41" i="1" s="1"/>
  <c r="AE33" i="1"/>
  <c r="AF33" i="1"/>
  <c r="AE27" i="1"/>
  <c r="AF27" i="1"/>
  <c r="AD28" i="1" s="1"/>
  <c r="AF28" i="1" s="1"/>
  <c r="AD29" i="1" s="1"/>
  <c r="AE29" i="1" s="1"/>
  <c r="AE21" i="1"/>
  <c r="AF21" i="1"/>
  <c r="AD22" i="1" s="1"/>
  <c r="AE22" i="1" s="1"/>
  <c r="AE15" i="1"/>
  <c r="AF15" i="1"/>
  <c r="AD16" i="1" s="1"/>
  <c r="AE58" i="1" l="1"/>
  <c r="AE52" i="1"/>
  <c r="AF22" i="1"/>
  <c r="AD23" i="1" s="1"/>
  <c r="AE23" i="1" s="1"/>
  <c r="AE40" i="1"/>
  <c r="AE28" i="1"/>
  <c r="AE41" i="1"/>
  <c r="AF41" i="1"/>
  <c r="AF59" i="1"/>
  <c r="AD60" i="1" s="1"/>
  <c r="AE59" i="1"/>
  <c r="AF53" i="1"/>
  <c r="AD54" i="1" s="1"/>
  <c r="AE53" i="1"/>
  <c r="AF64" i="1"/>
  <c r="AD65" i="1" s="1"/>
  <c r="AD34" i="1"/>
  <c r="AD46" i="1"/>
  <c r="AD47" i="1"/>
  <c r="AF29"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I49" i="1"/>
  <c r="AI50" i="1"/>
  <c r="Z10" i="1"/>
  <c r="Z11" i="1"/>
  <c r="Z12" i="1"/>
  <c r="Z13" i="1"/>
  <c r="Z14" i="1"/>
  <c r="AE60" i="1" l="1"/>
  <c r="AF60" i="1"/>
  <c r="AE54" i="1"/>
  <c r="AF54" i="1"/>
  <c r="AD55" i="1" s="1"/>
  <c r="AF23" i="1"/>
  <c r="AD24" i="1" s="1"/>
  <c r="AF24" i="1" s="1"/>
  <c r="AE47" i="1"/>
  <c r="AF47" i="1"/>
  <c r="AD48" i="1" s="1"/>
  <c r="AE65" i="1"/>
  <c r="AF65" i="1"/>
  <c r="AD66" i="1" s="1"/>
  <c r="AE46" i="1"/>
  <c r="AF46" i="1"/>
  <c r="AD42" i="1"/>
  <c r="AE34" i="1"/>
  <c r="AF34" i="1"/>
  <c r="AD35" i="1" s="1"/>
  <c r="AE35" i="1" s="1"/>
  <c r="AD31" i="1"/>
  <c r="AE31" i="1" s="1"/>
  <c r="AD30" i="1"/>
  <c r="AE16" i="1"/>
  <c r="AF16" i="1"/>
  <c r="AD17" i="1" s="1"/>
  <c r="AE17" i="1" s="1"/>
  <c r="AF35" i="1" l="1"/>
  <c r="AD36" i="1" s="1"/>
  <c r="AF36" i="1" s="1"/>
  <c r="AD37" i="1" s="1"/>
  <c r="AE55" i="1"/>
  <c r="AF55" i="1"/>
  <c r="AD56" i="1" s="1"/>
  <c r="AD61" i="1"/>
  <c r="AD62" i="1"/>
  <c r="AE24" i="1"/>
  <c r="AE42" i="1"/>
  <c r="AF42" i="1"/>
  <c r="AD43" i="1" s="1"/>
  <c r="AE43" i="1" s="1"/>
  <c r="AE36" i="1"/>
  <c r="AE48" i="1"/>
  <c r="AF48" i="1"/>
  <c r="AD25" i="1"/>
  <c r="AF66" i="1"/>
  <c r="AE66" i="1"/>
  <c r="AE30" i="1"/>
  <c r="AF30" i="1"/>
  <c r="AF31" i="1"/>
  <c r="AD32" i="1" s="1"/>
  <c r="AF17" i="1"/>
  <c r="AD18" i="1" s="1"/>
  <c r="AE18" i="1" s="1"/>
  <c r="W11" i="1"/>
  <c r="AE62" i="1" l="1"/>
  <c r="AF62" i="1"/>
  <c r="AE61" i="1"/>
  <c r="AF61" i="1"/>
  <c r="AE56" i="1"/>
  <c r="AF56" i="1"/>
  <c r="AD67" i="1"/>
  <c r="AD68" i="1"/>
  <c r="AF43" i="1"/>
  <c r="AD44" i="1" s="1"/>
  <c r="AE44" i="1" s="1"/>
  <c r="AF37" i="1"/>
  <c r="AD38" i="1" s="1"/>
  <c r="AE37" i="1"/>
  <c r="AE25" i="1"/>
  <c r="AF25" i="1"/>
  <c r="AD26" i="1" s="1"/>
  <c r="AE26" i="1" s="1"/>
  <c r="AE32" i="1"/>
  <c r="AF32" i="1"/>
  <c r="AF18" i="1"/>
  <c r="AD19" i="1" s="1"/>
  <c r="AF19" i="1" s="1"/>
  <c r="AD20" i="1" s="1"/>
  <c r="AD9" i="1"/>
  <c r="AE9" i="1" s="1"/>
  <c r="AE68" i="1" l="1"/>
  <c r="AF68" i="1"/>
  <c r="AE67" i="1"/>
  <c r="AF67" i="1"/>
  <c r="AE38" i="1"/>
  <c r="AF38" i="1"/>
  <c r="AF44" i="1"/>
  <c r="AF26" i="1"/>
  <c r="AE19" i="1"/>
  <c r="AE20" i="1"/>
  <c r="AF20" i="1"/>
  <c r="W10" i="1"/>
  <c r="AF9" i="1" l="1"/>
  <c r="AD10" i="1" s="1"/>
  <c r="AE10" i="1" l="1"/>
  <c r="AF10" i="1" l="1"/>
  <c r="AD11" i="1" s="1"/>
  <c r="AE11" i="1" s="1"/>
  <c r="AF11" i="1" l="1"/>
  <c r="AD12" i="1" s="1"/>
  <c r="AF12" i="1" l="1"/>
  <c r="AD13" i="1" s="1"/>
  <c r="AE13" i="1" l="1"/>
  <c r="AF13" i="1"/>
  <c r="AD14" i="1" s="1"/>
  <c r="AE12" i="1"/>
  <c r="AE14" i="1" l="1"/>
  <c r="AF14" i="1"/>
  <c r="AH28" i="1" l="1"/>
  <c r="AH27" i="1"/>
  <c r="AG27" i="1" s="1"/>
  <c r="AH65" i="1"/>
  <c r="AH58" i="1"/>
  <c r="AH57" i="1"/>
  <c r="AH40" i="1"/>
  <c r="AH39" i="1"/>
  <c r="AG39" i="1" s="1"/>
  <c r="AH52" i="1"/>
  <c r="AH51" i="1"/>
  <c r="AG51" i="1" s="1"/>
  <c r="AH10" i="1"/>
  <c r="AH16" i="1"/>
  <c r="AH15" i="1"/>
  <c r="AG15" i="1" s="1"/>
  <c r="AH22" i="1"/>
  <c r="AH21" i="1"/>
  <c r="AG21" i="1" s="1"/>
  <c r="AH46" i="1"/>
  <c r="AH45" i="1"/>
  <c r="AG45" i="1" s="1"/>
  <c r="AH34" i="1"/>
  <c r="AH33" i="1"/>
  <c r="AG33" i="1" s="1"/>
  <c r="J40" i="19" l="1"/>
  <c r="V30" i="19"/>
  <c r="AH20" i="19"/>
  <c r="J30" i="19"/>
  <c r="V20" i="19"/>
  <c r="AH10" i="19"/>
  <c r="P10" i="19"/>
  <c r="AB50" i="19"/>
  <c r="J50" i="19"/>
  <c r="AB40" i="19"/>
  <c r="P30" i="19"/>
  <c r="V50" i="19"/>
  <c r="P50" i="19"/>
  <c r="AB10" i="19"/>
  <c r="AH30" i="19"/>
  <c r="AH40" i="19"/>
  <c r="J10" i="19"/>
  <c r="AB20" i="19"/>
  <c r="AH50" i="19"/>
  <c r="AI33" i="1"/>
  <c r="V10" i="19"/>
  <c r="P20" i="19"/>
  <c r="J20" i="19"/>
  <c r="P40" i="19"/>
  <c r="V40" i="19"/>
  <c r="AB30" i="19"/>
  <c r="J11" i="19"/>
  <c r="V11" i="19"/>
  <c r="AB21" i="19"/>
  <c r="P31" i="19"/>
  <c r="J31" i="19"/>
  <c r="AB41" i="19"/>
  <c r="AI39" i="1"/>
  <c r="AH41" i="19"/>
  <c r="P41" i="19"/>
  <c r="J21" i="19"/>
  <c r="AB31" i="19"/>
  <c r="AB51" i="19"/>
  <c r="P21" i="19"/>
  <c r="V41" i="19"/>
  <c r="V31" i="19"/>
  <c r="AH21" i="19"/>
  <c r="AB11" i="19"/>
  <c r="P51" i="19"/>
  <c r="V21" i="19"/>
  <c r="AH31" i="19"/>
  <c r="V51" i="19"/>
  <c r="J51" i="19"/>
  <c r="AH51" i="19"/>
  <c r="AH11" i="19"/>
  <c r="J41" i="19"/>
  <c r="P11" i="19"/>
  <c r="AG22" i="1"/>
  <c r="AH23" i="1"/>
  <c r="J47" i="19"/>
  <c r="V27" i="19"/>
  <c r="AH7" i="19"/>
  <c r="P47" i="19"/>
  <c r="AB27" i="19"/>
  <c r="J17" i="19"/>
  <c r="V47" i="19"/>
  <c r="J37" i="19"/>
  <c r="AI15" i="1"/>
  <c r="AB37" i="19"/>
  <c r="J27" i="19"/>
  <c r="V7" i="19"/>
  <c r="AH37" i="19"/>
  <c r="P27" i="19"/>
  <c r="AB7" i="19"/>
  <c r="P17" i="19"/>
  <c r="V17" i="19"/>
  <c r="AH47" i="19"/>
  <c r="P37" i="19"/>
  <c r="AB17" i="19"/>
  <c r="J7" i="19"/>
  <c r="V37" i="19"/>
  <c r="AH17" i="19"/>
  <c r="P7" i="19"/>
  <c r="AH27" i="19"/>
  <c r="AB47" i="19"/>
  <c r="AI51"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G57" i="1"/>
  <c r="AH64" i="1"/>
  <c r="AG64" i="1" s="1"/>
  <c r="AI27"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I21"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H11" i="1"/>
  <c r="AG10" i="1"/>
  <c r="AG65" i="1"/>
  <c r="AH66" i="1"/>
  <c r="AH35" i="1"/>
  <c r="AG34" i="1"/>
  <c r="AG40" i="1"/>
  <c r="AH41" i="1"/>
  <c r="AG41" i="1" s="1"/>
  <c r="AH42" i="1"/>
  <c r="V32" i="19"/>
  <c r="P42" i="19"/>
  <c r="J12" i="19"/>
  <c r="J32" i="19"/>
  <c r="AB52" i="19"/>
  <c r="AI45" i="1"/>
  <c r="J22" i="19"/>
  <c r="V22" i="19"/>
  <c r="J52" i="19"/>
  <c r="AH12" i="19"/>
  <c r="J42" i="19"/>
  <c r="AH42" i="19"/>
  <c r="P32" i="19"/>
  <c r="AB12" i="19"/>
  <c r="AH32" i="19"/>
  <c r="AB32" i="19"/>
  <c r="AB42" i="19"/>
  <c r="V42" i="19"/>
  <c r="V12" i="19"/>
  <c r="V52" i="19"/>
  <c r="AB22" i="19"/>
  <c r="AH52" i="19"/>
  <c r="AH22" i="19"/>
  <c r="P22" i="19"/>
  <c r="P12" i="19"/>
  <c r="P52" i="19"/>
  <c r="AH47" i="1"/>
  <c r="AG47" i="1" s="1"/>
  <c r="AH48" i="1"/>
  <c r="AG48" i="1" s="1"/>
  <c r="AG46" i="1"/>
  <c r="AH17" i="1"/>
  <c r="AG16" i="1"/>
  <c r="AG52" i="1"/>
  <c r="AH53" i="1"/>
  <c r="AG58" i="1"/>
  <c r="AH59" i="1"/>
  <c r="AG28" i="1"/>
  <c r="AH29" i="1"/>
  <c r="W37" i="19" l="1"/>
  <c r="AI7" i="19"/>
  <c r="W17" i="19"/>
  <c r="W27" i="19"/>
  <c r="Q47" i="19"/>
  <c r="W7" i="19"/>
  <c r="AI17" i="19"/>
  <c r="K47" i="19"/>
  <c r="AI47" i="19"/>
  <c r="Q27" i="19"/>
  <c r="AC27" i="19"/>
  <c r="AC47" i="19"/>
  <c r="AC37" i="19"/>
  <c r="AI37" i="19"/>
  <c r="AI16" i="1"/>
  <c r="AC17" i="19"/>
  <c r="K37" i="19"/>
  <c r="AC7" i="19"/>
  <c r="W47" i="19"/>
  <c r="Q37" i="19"/>
  <c r="AI27" i="19"/>
  <c r="Q7" i="19"/>
  <c r="K27" i="19"/>
  <c r="K17" i="19"/>
  <c r="K7" i="19"/>
  <c r="Q17" i="19"/>
  <c r="AG66" i="1"/>
  <c r="AH67" i="1"/>
  <c r="K35" i="19"/>
  <c r="AC25" i="19"/>
  <c r="K45" i="19"/>
  <c r="AI45" i="19"/>
  <c r="W45" i="19"/>
  <c r="Q35" i="19"/>
  <c r="K55" i="19"/>
  <c r="AC15" i="19"/>
  <c r="Q15" i="19"/>
  <c r="AC35" i="19"/>
  <c r="AI35" i="19"/>
  <c r="Q55" i="19"/>
  <c r="AI25" i="19"/>
  <c r="AI64"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I58"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I40" i="1"/>
  <c r="AD55" i="19"/>
  <c r="R15" i="19"/>
  <c r="AJ35" i="19"/>
  <c r="AI65"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I57"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I47" i="1"/>
  <c r="AD12" i="19"/>
  <c r="AD32" i="19"/>
  <c r="AD22" i="19"/>
  <c r="X52" i="19"/>
  <c r="AD52" i="19"/>
  <c r="L42" i="19"/>
  <c r="R42" i="19"/>
  <c r="AJ21" i="19"/>
  <c r="AD31" i="19"/>
  <c r="R21" i="19"/>
  <c r="AD41" i="19"/>
  <c r="AJ11" i="19"/>
  <c r="AJ51" i="19"/>
  <c r="AI41" i="1"/>
  <c r="L41" i="19"/>
  <c r="AD11" i="19"/>
  <c r="L21" i="19"/>
  <c r="L11" i="19"/>
  <c r="X51" i="19"/>
  <c r="X21" i="19"/>
  <c r="R11" i="19"/>
  <c r="R31" i="19"/>
  <c r="AJ41" i="19"/>
  <c r="L31" i="19"/>
  <c r="R51" i="19"/>
  <c r="X31" i="19"/>
  <c r="X11" i="19"/>
  <c r="X41" i="19"/>
  <c r="AJ31" i="19"/>
  <c r="AD51" i="19"/>
  <c r="R41" i="19"/>
  <c r="AD21" i="19"/>
  <c r="L51" i="19"/>
  <c r="AH18" i="1"/>
  <c r="AG17" i="1"/>
  <c r="AG29" i="1"/>
  <c r="AH30" i="1"/>
  <c r="AG53" i="1"/>
  <c r="AH54" i="1"/>
  <c r="K42" i="19"/>
  <c r="AC32" i="19"/>
  <c r="W42" i="19"/>
  <c r="AI52" i="19"/>
  <c r="K22" i="19"/>
  <c r="Q32" i="19"/>
  <c r="AI12" i="19"/>
  <c r="AC52" i="19"/>
  <c r="Q42" i="19"/>
  <c r="AC42" i="19"/>
  <c r="K12" i="19"/>
  <c r="Q22" i="19"/>
  <c r="W52" i="19"/>
  <c r="AI42" i="19"/>
  <c r="W32" i="19"/>
  <c r="AI22" i="19"/>
  <c r="W12" i="19"/>
  <c r="AI32" i="19"/>
  <c r="AC12" i="19"/>
  <c r="Q12" i="19"/>
  <c r="Q52" i="19"/>
  <c r="AI46" i="1"/>
  <c r="K32" i="19"/>
  <c r="W22" i="19"/>
  <c r="K52" i="19"/>
  <c r="AC22" i="19"/>
  <c r="AC40" i="19"/>
  <c r="W10" i="19"/>
  <c r="AC50" i="19"/>
  <c r="Q10" i="19"/>
  <c r="Q30" i="19"/>
  <c r="W50" i="19"/>
  <c r="K40" i="19"/>
  <c r="Q50" i="19"/>
  <c r="W20" i="19"/>
  <c r="AI34" i="1"/>
  <c r="K10" i="19"/>
  <c r="Q40" i="19"/>
  <c r="K30" i="19"/>
  <c r="AI50" i="19"/>
  <c r="AI20" i="19"/>
  <c r="K50" i="19"/>
  <c r="AI40" i="19"/>
  <c r="W40" i="19"/>
  <c r="K20" i="19"/>
  <c r="AC10" i="19"/>
  <c r="AI10" i="19"/>
  <c r="AC20" i="19"/>
  <c r="AI30" i="19"/>
  <c r="AC30" i="19"/>
  <c r="W30" i="19"/>
  <c r="Q20" i="19"/>
  <c r="AI10"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H24" i="1"/>
  <c r="AG23" i="1"/>
  <c r="AG59" i="1"/>
  <c r="AH60" i="1"/>
  <c r="K39" i="19"/>
  <c r="AC39" i="19"/>
  <c r="W29" i="19"/>
  <c r="AI49" i="19"/>
  <c r="W9" i="19"/>
  <c r="AC19" i="19"/>
  <c r="Q49" i="19"/>
  <c r="W49" i="19"/>
  <c r="AC9" i="19"/>
  <c r="AI9" i="19"/>
  <c r="Q29" i="19"/>
  <c r="W39" i="19"/>
  <c r="Q39" i="19"/>
  <c r="AI28"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I52" i="1"/>
  <c r="Q33" i="19"/>
  <c r="AI23" i="19"/>
  <c r="K53" i="19"/>
  <c r="AC23" i="19"/>
  <c r="AC13" i="19"/>
  <c r="W23" i="19"/>
  <c r="W33" i="19"/>
  <c r="Q13" i="19"/>
  <c r="W13" i="19"/>
  <c r="AI13" i="19"/>
  <c r="Q43" i="19"/>
  <c r="Q23" i="19"/>
  <c r="W53" i="19"/>
  <c r="M12" i="19"/>
  <c r="AK42" i="19"/>
  <c r="AE32" i="19"/>
  <c r="AI48" i="1"/>
  <c r="M52" i="19"/>
  <c r="S12" i="19"/>
  <c r="M32" i="19"/>
  <c r="S52" i="19"/>
  <c r="Y52" i="19"/>
  <c r="Y42" i="19"/>
  <c r="AK12" i="19"/>
  <c r="S22" i="19"/>
  <c r="AE12" i="19"/>
  <c r="Y22" i="19"/>
  <c r="S32" i="19"/>
  <c r="AK52" i="19"/>
  <c r="M22" i="19"/>
  <c r="AK32" i="19"/>
  <c r="AE22" i="19"/>
  <c r="AE42" i="19"/>
  <c r="Y32" i="19"/>
  <c r="M42" i="19"/>
  <c r="Y12" i="19"/>
  <c r="AE52" i="19"/>
  <c r="AK22" i="19"/>
  <c r="S42" i="19"/>
  <c r="AG42" i="1"/>
  <c r="AH44" i="1"/>
  <c r="AG44" i="1" s="1"/>
  <c r="AH43" i="1"/>
  <c r="AG43" i="1" s="1"/>
  <c r="AG35" i="1"/>
  <c r="AH36" i="1"/>
  <c r="AH12" i="1"/>
  <c r="AG12" i="1" s="1"/>
  <c r="AG11" i="1"/>
  <c r="AH1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I22" i="1"/>
  <c r="AG13" i="1" l="1"/>
  <c r="AH14" i="1"/>
  <c r="AG14" i="1" s="1"/>
  <c r="R40" i="19"/>
  <c r="AD10" i="19"/>
  <c r="X40" i="19"/>
  <c r="AJ10" i="19"/>
  <c r="R50" i="19"/>
  <c r="X10" i="19"/>
  <c r="R30" i="19"/>
  <c r="AI35" i="1"/>
  <c r="L10" i="19"/>
  <c r="L50" i="19"/>
  <c r="AJ20" i="19"/>
  <c r="AJ40" i="19"/>
  <c r="AD30" i="19"/>
  <c r="R20" i="19"/>
  <c r="AD50" i="19"/>
  <c r="AJ30" i="19"/>
  <c r="AJ50" i="19"/>
  <c r="X30" i="19"/>
  <c r="AD20" i="19"/>
  <c r="L40" i="19"/>
  <c r="X50" i="19"/>
  <c r="X20" i="19"/>
  <c r="AD40" i="19"/>
  <c r="R10" i="19"/>
  <c r="L30" i="19"/>
  <c r="L20" i="19"/>
  <c r="AG54" i="1"/>
  <c r="AH55" i="1"/>
  <c r="AG67" i="1"/>
  <c r="AH68" i="1"/>
  <c r="AG68" i="1" s="1"/>
  <c r="AD47" i="19"/>
  <c r="AJ27" i="19"/>
  <c r="AD27" i="19"/>
  <c r="AJ7" i="19"/>
  <c r="AJ37" i="19"/>
  <c r="L27" i="19"/>
  <c r="AD17" i="19"/>
  <c r="L37" i="19"/>
  <c r="R17" i="19"/>
  <c r="AJ17" i="19"/>
  <c r="X7" i="19"/>
  <c r="X47" i="19"/>
  <c r="L7" i="19"/>
  <c r="L17" i="19"/>
  <c r="R27" i="19"/>
  <c r="X27" i="19"/>
  <c r="R7" i="19"/>
  <c r="X17" i="19"/>
  <c r="AJ47" i="19"/>
  <c r="L47" i="19"/>
  <c r="R37" i="19"/>
  <c r="AD7" i="19"/>
  <c r="X37" i="19"/>
  <c r="AI17" i="1"/>
  <c r="R47" i="19"/>
  <c r="AD37" i="19"/>
  <c r="AH25" i="1"/>
  <c r="AG25" i="1" s="1"/>
  <c r="AG24" i="1"/>
  <c r="AH26" i="1"/>
  <c r="AG26" i="1" s="1"/>
  <c r="AJ43" i="19"/>
  <c r="AD33" i="19"/>
  <c r="X33" i="19"/>
  <c r="X13" i="19"/>
  <c r="AD43" i="19"/>
  <c r="L43" i="19"/>
  <c r="AI53" i="1"/>
  <c r="X23" i="19"/>
  <c r="R33" i="19"/>
  <c r="R43" i="19"/>
  <c r="AD53" i="19"/>
  <c r="AJ13" i="19"/>
  <c r="R23" i="19"/>
  <c r="R13" i="19"/>
  <c r="AJ53" i="19"/>
  <c r="L33" i="19"/>
  <c r="L23" i="19"/>
  <c r="X43" i="19"/>
  <c r="X53" i="19"/>
  <c r="AD13" i="19"/>
  <c r="L53" i="19"/>
  <c r="L13" i="19"/>
  <c r="AD23" i="19"/>
  <c r="AJ33" i="19"/>
  <c r="AJ23" i="19"/>
  <c r="R53" i="19"/>
  <c r="AG18" i="1"/>
  <c r="AH19" i="1"/>
  <c r="M55" i="19"/>
  <c r="AK15" i="19"/>
  <c r="AE25" i="19"/>
  <c r="AI66"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I23"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I43"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I12" i="1"/>
  <c r="O11" i="19"/>
  <c r="O21" i="19"/>
  <c r="O51" i="19"/>
  <c r="AA31" i="19"/>
  <c r="AM31" i="19"/>
  <c r="AG51" i="19"/>
  <c r="AA41" i="19"/>
  <c r="AM11" i="19"/>
  <c r="U21" i="19"/>
  <c r="AG41" i="19"/>
  <c r="AM21" i="19"/>
  <c r="AM51" i="19"/>
  <c r="O41" i="19"/>
  <c r="U11" i="19"/>
  <c r="AG31" i="19"/>
  <c r="U41" i="19"/>
  <c r="AI44" i="1"/>
  <c r="AG11" i="19"/>
  <c r="AM41" i="19"/>
  <c r="AA21" i="19"/>
  <c r="AA51" i="19"/>
  <c r="U51" i="19"/>
  <c r="U31" i="19"/>
  <c r="AA11" i="19"/>
  <c r="AG21" i="19"/>
  <c r="O31" i="19"/>
  <c r="AG60" i="1"/>
  <c r="AH61" i="1"/>
  <c r="AG30" i="1"/>
  <c r="AH31" i="1"/>
  <c r="AG31" i="1" s="1"/>
  <c r="AH32" i="1"/>
  <c r="AG32" i="1" s="1"/>
  <c r="AJ46" i="19"/>
  <c r="AD46" i="19"/>
  <c r="L36" i="19"/>
  <c r="X16" i="19"/>
  <c r="AJ26" i="19"/>
  <c r="L46" i="19"/>
  <c r="X6" i="19"/>
  <c r="R36" i="19"/>
  <c r="X36" i="19"/>
  <c r="R6" i="19"/>
  <c r="AJ6" i="19"/>
  <c r="AD36" i="19"/>
  <c r="R46" i="19"/>
  <c r="AD26" i="19"/>
  <c r="L16" i="19"/>
  <c r="AD16" i="19"/>
  <c r="AI11" i="1"/>
  <c r="X46" i="19"/>
  <c r="X26" i="19"/>
  <c r="AJ36" i="19"/>
  <c r="R26" i="19"/>
  <c r="AD6" i="19"/>
  <c r="L6" i="19"/>
  <c r="L26" i="19"/>
  <c r="R16" i="19"/>
  <c r="AJ16" i="19"/>
  <c r="AG36" i="1"/>
  <c r="AH37" i="1"/>
  <c r="AE11" i="19"/>
  <c r="Y41" i="19"/>
  <c r="M41" i="19"/>
  <c r="Y21" i="19"/>
  <c r="AK41" i="19"/>
  <c r="S31" i="19"/>
  <c r="M31" i="19"/>
  <c r="M51" i="19"/>
  <c r="Y51" i="19"/>
  <c r="AK21" i="19"/>
  <c r="AK31" i="19"/>
  <c r="Y11" i="19"/>
  <c r="AE41" i="19"/>
  <c r="AE21" i="19"/>
  <c r="S51" i="19"/>
  <c r="AE51" i="19"/>
  <c r="AK51" i="19"/>
  <c r="M21" i="19"/>
  <c r="AE31" i="19"/>
  <c r="AI42" i="1"/>
  <c r="S41" i="19"/>
  <c r="AK11" i="19"/>
  <c r="S11" i="19"/>
  <c r="Y31" i="19"/>
  <c r="S21" i="19"/>
  <c r="M11" i="19"/>
  <c r="L54" i="19"/>
  <c r="AJ14" i="19"/>
  <c r="AD44" i="19"/>
  <c r="X54" i="19"/>
  <c r="R14" i="19"/>
  <c r="AD24" i="19"/>
  <c r="AD34" i="19"/>
  <c r="R54" i="19"/>
  <c r="L34" i="19"/>
  <c r="AJ34" i="19"/>
  <c r="X24" i="19"/>
  <c r="AJ24" i="19"/>
  <c r="X44" i="19"/>
  <c r="R24" i="19"/>
  <c r="AI59" i="1"/>
  <c r="X34" i="19"/>
  <c r="L14" i="19"/>
  <c r="AD14" i="19"/>
  <c r="L44" i="19"/>
  <c r="R44" i="19"/>
  <c r="AD54" i="19"/>
  <c r="X14" i="19"/>
  <c r="AJ44" i="19"/>
  <c r="R34" i="19"/>
  <c r="AJ54" i="19"/>
  <c r="L24" i="19"/>
  <c r="AD29" i="19"/>
  <c r="AD19" i="19"/>
  <c r="R39" i="19"/>
  <c r="R9" i="19"/>
  <c r="X49" i="19"/>
  <c r="X9" i="19"/>
  <c r="AD39" i="19"/>
  <c r="R29" i="19"/>
  <c r="L49" i="19"/>
  <c r="X19" i="19"/>
  <c r="X29" i="19"/>
  <c r="X39" i="19"/>
  <c r="L9" i="19"/>
  <c r="AI29" i="1"/>
  <c r="AD9" i="19"/>
  <c r="AJ49" i="19"/>
  <c r="L39" i="19"/>
  <c r="R19" i="19"/>
  <c r="AJ39" i="19"/>
  <c r="AJ29" i="19"/>
  <c r="AJ19" i="19"/>
  <c r="AJ9" i="19"/>
  <c r="AD49" i="19"/>
  <c r="L19" i="19"/>
  <c r="L29" i="19"/>
  <c r="R49" i="19"/>
  <c r="AG37" i="1" l="1"/>
  <c r="AH38" i="1"/>
  <c r="AG38" i="1" s="1"/>
  <c r="AG39" i="19"/>
  <c r="AG29" i="19"/>
  <c r="AM19" i="19"/>
  <c r="O39" i="19"/>
  <c r="AI32"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I60" i="1"/>
  <c r="AE24" i="19"/>
  <c r="S14" i="19"/>
  <c r="AK17" i="19"/>
  <c r="S27" i="19"/>
  <c r="S37" i="19"/>
  <c r="AE27" i="19"/>
  <c r="Y47" i="19"/>
  <c r="S7" i="19"/>
  <c r="M17" i="19"/>
  <c r="AE17" i="19"/>
  <c r="AK27" i="19"/>
  <c r="Y7" i="19"/>
  <c r="Y37" i="19"/>
  <c r="AE37" i="19"/>
  <c r="Y27" i="19"/>
  <c r="M47" i="19"/>
  <c r="AI18"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I24" i="1"/>
  <c r="AE28" i="19"/>
  <c r="AA55" i="19"/>
  <c r="O45" i="19"/>
  <c r="AA15" i="19"/>
  <c r="AM55" i="19"/>
  <c r="O55" i="19"/>
  <c r="AG35" i="19"/>
  <c r="AM25" i="19"/>
  <c r="AM35" i="19"/>
  <c r="AA25" i="19"/>
  <c r="AM45" i="19"/>
  <c r="AG25" i="19"/>
  <c r="AA35" i="19"/>
  <c r="O25" i="19"/>
  <c r="U25" i="19"/>
  <c r="AG45" i="19"/>
  <c r="U35" i="19"/>
  <c r="AA45" i="19"/>
  <c r="AM15" i="19"/>
  <c r="U45" i="19"/>
  <c r="O35" i="19"/>
  <c r="O15" i="19"/>
  <c r="AI68" i="1"/>
  <c r="AG15" i="19"/>
  <c r="U15" i="19"/>
  <c r="AG55" i="19"/>
  <c r="U55" i="19"/>
  <c r="AE40" i="19"/>
  <c r="Y30" i="19"/>
  <c r="M20" i="19"/>
  <c r="AI36"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I31" i="1"/>
  <c r="T19" i="19"/>
  <c r="AL49" i="19"/>
  <c r="T29" i="19"/>
  <c r="AF29" i="19"/>
  <c r="T18" i="19"/>
  <c r="N48" i="19"/>
  <c r="N8" i="19"/>
  <c r="T28" i="19"/>
  <c r="AF38" i="19"/>
  <c r="Z28" i="19"/>
  <c r="Z18" i="19"/>
  <c r="AF8" i="19"/>
  <c r="AI25"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I67"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I30" i="1"/>
  <c r="M9" i="19"/>
  <c r="Y29" i="19"/>
  <c r="AG55" i="1"/>
  <c r="AH56" i="1"/>
  <c r="AG56" i="1" s="1"/>
  <c r="AM46" i="19"/>
  <c r="U36" i="19"/>
  <c r="AG16" i="19"/>
  <c r="O6" i="19"/>
  <c r="AA36" i="19"/>
  <c r="AM16" i="19"/>
  <c r="U6" i="19"/>
  <c r="AG46" i="19"/>
  <c r="AA16" i="19"/>
  <c r="AI14" i="1"/>
  <c r="AA6" i="19"/>
  <c r="AG6" i="19"/>
  <c r="AA46" i="19"/>
  <c r="AM26" i="19"/>
  <c r="U16" i="19"/>
  <c r="O36" i="19"/>
  <c r="U26" i="19"/>
  <c r="O46" i="19"/>
  <c r="AA26" i="19"/>
  <c r="AM6" i="19"/>
  <c r="U46" i="19"/>
  <c r="AG26" i="19"/>
  <c r="O16" i="19"/>
  <c r="AG36" i="19"/>
  <c r="O26" i="19"/>
  <c r="AM36" i="19"/>
  <c r="AG61" i="1"/>
  <c r="AH62" i="1"/>
  <c r="AG62" i="1" s="1"/>
  <c r="AH20" i="1"/>
  <c r="AG20" i="1" s="1"/>
  <c r="AG19" i="1"/>
  <c r="O8" i="19"/>
  <c r="AA48" i="19"/>
  <c r="AM38" i="19"/>
  <c r="U48" i="19"/>
  <c r="AA18" i="19"/>
  <c r="AG18" i="19"/>
  <c r="AG48" i="19"/>
  <c r="AM18" i="19"/>
  <c r="AA28" i="19"/>
  <c r="AG28" i="19"/>
  <c r="AA8" i="19"/>
  <c r="U18" i="19"/>
  <c r="AG38" i="19"/>
  <c r="U38" i="19"/>
  <c r="AM8" i="19"/>
  <c r="AA38" i="19"/>
  <c r="AM48" i="19"/>
  <c r="U28" i="19"/>
  <c r="O38" i="19"/>
  <c r="U8" i="19"/>
  <c r="AG8" i="19"/>
  <c r="AI26"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I54" i="1"/>
  <c r="M33" i="19"/>
  <c r="AF6" i="19"/>
  <c r="N46" i="19"/>
  <c r="Z26" i="19"/>
  <c r="AL6" i="19"/>
  <c r="AL36" i="19"/>
  <c r="AF26" i="19"/>
  <c r="Z6" i="19"/>
  <c r="T26" i="19"/>
  <c r="Z46" i="19"/>
  <c r="AF46" i="19"/>
  <c r="T46" i="19"/>
  <c r="T6" i="19"/>
  <c r="AF36" i="19"/>
  <c r="N26" i="19"/>
  <c r="Z16" i="19"/>
  <c r="AL26" i="19"/>
  <c r="Z36" i="19"/>
  <c r="N36" i="19"/>
  <c r="AL46" i="19"/>
  <c r="T36" i="19"/>
  <c r="AF16" i="19"/>
  <c r="N6" i="19"/>
  <c r="N16" i="19"/>
  <c r="AI13"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I62" i="1"/>
  <c r="AA14" i="19"/>
  <c r="O54" i="19"/>
  <c r="U44" i="19"/>
  <c r="U43" i="19"/>
  <c r="U13" i="19"/>
  <c r="AM53" i="19"/>
  <c r="AA53" i="19"/>
  <c r="AA43" i="19"/>
  <c r="O53" i="19"/>
  <c r="O23" i="19"/>
  <c r="O13" i="19"/>
  <c r="AG43" i="19"/>
  <c r="U33" i="19"/>
  <c r="U23" i="19"/>
  <c r="AM13" i="19"/>
  <c r="AM23" i="19"/>
  <c r="AG13" i="19"/>
  <c r="AA23" i="19"/>
  <c r="AG33" i="19"/>
  <c r="AA33" i="19"/>
  <c r="AM33" i="19"/>
  <c r="AA13" i="19"/>
  <c r="AI56"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I61" i="1"/>
  <c r="AF53" i="19"/>
  <c r="T43" i="19"/>
  <c r="Z53" i="19"/>
  <c r="N43" i="19"/>
  <c r="T23" i="19"/>
  <c r="AF43" i="19"/>
  <c r="Z13" i="19"/>
  <c r="Z43" i="19"/>
  <c r="AF23" i="19"/>
  <c r="AL13" i="19"/>
  <c r="Z23" i="19"/>
  <c r="AL43" i="19"/>
  <c r="AF13" i="19"/>
  <c r="AL23" i="19"/>
  <c r="N13" i="19"/>
  <c r="T33" i="19"/>
  <c r="AL53" i="19"/>
  <c r="N23" i="19"/>
  <c r="N53" i="19"/>
  <c r="AF33" i="19"/>
  <c r="N33" i="19"/>
  <c r="AI55" i="1"/>
  <c r="T53" i="19"/>
  <c r="AL33" i="19"/>
  <c r="T13" i="19"/>
  <c r="Z33" i="19"/>
  <c r="Z47" i="19"/>
  <c r="T7" i="19"/>
  <c r="AL37" i="19"/>
  <c r="T17" i="19"/>
  <c r="Z17" i="19"/>
  <c r="AF7" i="19"/>
  <c r="AF37" i="19"/>
  <c r="N17" i="19"/>
  <c r="AF27" i="19"/>
  <c r="AI19"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I38"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I20" i="1"/>
  <c r="AA17" i="19"/>
  <c r="O7" i="19"/>
  <c r="AA37" i="19"/>
  <c r="AA27" i="19"/>
  <c r="AM27" i="19"/>
  <c r="U17" i="19"/>
  <c r="U47" i="19"/>
  <c r="AG17" i="19"/>
  <c r="O47" i="19"/>
  <c r="Z40" i="19"/>
  <c r="AI37"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Q39" i="1" l="1"/>
  <c r="R39" i="1" s="1"/>
  <c r="Q21" i="1"/>
  <c r="R21" i="1" s="1"/>
  <c r="Q45" i="1"/>
  <c r="R45" i="1" s="1"/>
  <c r="Q63" i="1"/>
  <c r="R63" i="1" s="1"/>
  <c r="Q9" i="1"/>
  <c r="R9" i="1" s="1"/>
  <c r="Q27" i="1"/>
  <c r="R27" i="1" s="1"/>
  <c r="Q51" i="1"/>
  <c r="R51" i="1" s="1"/>
  <c r="Q33" i="1"/>
  <c r="R33" i="1" s="1"/>
  <c r="Q57" i="1"/>
  <c r="R57" i="1" s="1"/>
  <c r="Q15" i="1"/>
  <c r="R15" i="1" s="1"/>
  <c r="AD38" i="18" l="1"/>
  <c r="AD30" i="18"/>
  <c r="L14" i="18"/>
  <c r="X6" i="18"/>
  <c r="L30" i="18"/>
  <c r="L22" i="18"/>
  <c r="T15" i="1"/>
  <c r="AJ38" i="18"/>
  <c r="AD6" i="18"/>
  <c r="AJ30" i="18"/>
  <c r="AD22" i="18"/>
  <c r="AJ22" i="18"/>
  <c r="X38" i="18"/>
  <c r="R22" i="18"/>
  <c r="S15" i="1"/>
  <c r="X30" i="18"/>
  <c r="AJ6" i="18"/>
  <c r="L6" i="18"/>
  <c r="R38" i="18"/>
  <c r="L38" i="18"/>
  <c r="R6" i="18"/>
  <c r="R30" i="18"/>
  <c r="AJ14" i="18"/>
  <c r="AD14" i="18"/>
  <c r="X14" i="18"/>
  <c r="X22" i="18"/>
  <c r="R14" i="18"/>
  <c r="S33" i="1"/>
  <c r="AD32" i="18"/>
  <c r="L16" i="18"/>
  <c r="AJ32" i="18"/>
  <c r="R40" i="18"/>
  <c r="AD24" i="18"/>
  <c r="R24" i="18"/>
  <c r="AD8" i="18"/>
  <c r="L40" i="18"/>
  <c r="L24" i="18"/>
  <c r="L8" i="18"/>
  <c r="X40" i="18"/>
  <c r="X16" i="18"/>
  <c r="X24" i="18"/>
  <c r="X32" i="18"/>
  <c r="AJ8" i="18"/>
  <c r="R32" i="18"/>
  <c r="T33" i="1"/>
  <c r="AJ40" i="18"/>
  <c r="AJ24" i="18"/>
  <c r="AJ16" i="18"/>
  <c r="L32" i="18"/>
  <c r="R16" i="18"/>
  <c r="AD16" i="18"/>
  <c r="R8" i="18"/>
  <c r="X8" i="18"/>
  <c r="AD40" i="18"/>
  <c r="J40" i="18"/>
  <c r="P16" i="18"/>
  <c r="J8" i="18"/>
  <c r="AH16" i="18"/>
  <c r="AB40" i="18"/>
  <c r="P40" i="18"/>
  <c r="AB32" i="18"/>
  <c r="V16" i="18"/>
  <c r="AH32" i="18"/>
  <c r="V32" i="18"/>
  <c r="AB8" i="18"/>
  <c r="T27" i="1"/>
  <c r="AB24" i="18"/>
  <c r="S27" i="1"/>
  <c r="J16" i="18"/>
  <c r="V8" i="18"/>
  <c r="AB16" i="18"/>
  <c r="AH24" i="18"/>
  <c r="V40" i="18"/>
  <c r="AH8" i="18"/>
  <c r="AH40" i="18"/>
  <c r="J24" i="18"/>
  <c r="P32" i="18"/>
  <c r="J32" i="18"/>
  <c r="V24" i="18"/>
  <c r="P8" i="18"/>
  <c r="P24" i="18"/>
  <c r="S63" i="1"/>
  <c r="AH63" i="1" s="1"/>
  <c r="AG63" i="1" s="1"/>
  <c r="AH12" i="18"/>
  <c r="AH20" i="18"/>
  <c r="V12" i="18"/>
  <c r="AB20" i="18"/>
  <c r="J20" i="18"/>
  <c r="P44" i="18"/>
  <c r="V28" i="18"/>
  <c r="J28" i="18"/>
  <c r="J44" i="18"/>
  <c r="AB12" i="18"/>
  <c r="AH44" i="18"/>
  <c r="P20" i="18"/>
  <c r="AB28" i="18"/>
  <c r="AB36" i="18"/>
  <c r="P28" i="18"/>
  <c r="P36" i="18"/>
  <c r="AH28" i="18"/>
  <c r="J12" i="18"/>
  <c r="T63" i="1"/>
  <c r="AB44" i="18"/>
  <c r="V36" i="18"/>
  <c r="AH36" i="18"/>
  <c r="P12" i="18"/>
  <c r="V44" i="18"/>
  <c r="V20" i="18"/>
  <c r="J36" i="18"/>
  <c r="AF22" i="18"/>
  <c r="AF30" i="18"/>
  <c r="Z6" i="18"/>
  <c r="T14" i="18"/>
  <c r="N6" i="18"/>
  <c r="Z22" i="18"/>
  <c r="S21" i="1"/>
  <c r="AL38" i="18"/>
  <c r="AF6" i="18"/>
  <c r="T30" i="18"/>
  <c r="AF14" i="18"/>
  <c r="N14" i="18"/>
  <c r="AF38" i="18"/>
  <c r="T38" i="18"/>
  <c r="N38" i="18"/>
  <c r="AL6" i="18"/>
  <c r="T21" i="1"/>
  <c r="T22" i="18"/>
  <c r="AL30" i="18"/>
  <c r="Z14" i="18"/>
  <c r="Z30" i="18"/>
  <c r="AL14" i="18"/>
  <c r="AL22" i="18"/>
  <c r="Z38" i="18"/>
  <c r="N30" i="18"/>
  <c r="N22" i="18"/>
  <c r="T6" i="18"/>
  <c r="Z42" i="18"/>
  <c r="AF26" i="18"/>
  <c r="AF18" i="18"/>
  <c r="N34" i="18"/>
  <c r="T18" i="18"/>
  <c r="Z10" i="18"/>
  <c r="Z26" i="18"/>
  <c r="S57" i="1"/>
  <c r="AF34" i="18"/>
  <c r="N18" i="18"/>
  <c r="AL34" i="18"/>
  <c r="AF10" i="18"/>
  <c r="AF42" i="18"/>
  <c r="T26" i="18"/>
  <c r="N42" i="18"/>
  <c r="N26" i="18"/>
  <c r="T10" i="18"/>
  <c r="T34" i="18"/>
  <c r="Z18" i="18"/>
  <c r="AL18" i="18"/>
  <c r="T57" i="1"/>
  <c r="T42" i="18"/>
  <c r="AL10" i="18"/>
  <c r="N10" i="18"/>
  <c r="AL42" i="18"/>
  <c r="Z34" i="18"/>
  <c r="AL26" i="18"/>
  <c r="R34" i="18"/>
  <c r="AJ26" i="18"/>
  <c r="X42" i="18"/>
  <c r="R18" i="18"/>
  <c r="L34" i="18"/>
  <c r="X34" i="18"/>
  <c r="AD34" i="18"/>
  <c r="AJ10" i="18"/>
  <c r="AJ42" i="18"/>
  <c r="AD26" i="18"/>
  <c r="AD10" i="18"/>
  <c r="AD42" i="18"/>
  <c r="R10" i="18"/>
  <c r="AJ34" i="18"/>
  <c r="R42" i="18"/>
  <c r="X10" i="18"/>
  <c r="L42" i="18"/>
  <c r="R26" i="18"/>
  <c r="X26" i="18"/>
  <c r="AD18" i="18"/>
  <c r="L26" i="18"/>
  <c r="S51" i="1"/>
  <c r="AJ18" i="18"/>
  <c r="L10" i="18"/>
  <c r="X18" i="18"/>
  <c r="L18" i="18"/>
  <c r="T51" i="1"/>
  <c r="AB38" i="18"/>
  <c r="J6" i="18"/>
  <c r="AH30" i="18"/>
  <c r="AH14" i="18"/>
  <c r="J30" i="18"/>
  <c r="P30" i="18"/>
  <c r="J22" i="18"/>
  <c r="AH38" i="18"/>
  <c r="P38" i="18"/>
  <c r="AH22" i="18"/>
  <c r="V38" i="18"/>
  <c r="J14" i="18"/>
  <c r="AB6" i="18"/>
  <c r="P6" i="18"/>
  <c r="T9" i="1"/>
  <c r="P14" i="18"/>
  <c r="AB22" i="18"/>
  <c r="J38" i="18"/>
  <c r="P22" i="18"/>
  <c r="V22" i="18"/>
  <c r="V30" i="18"/>
  <c r="AH6" i="18"/>
  <c r="AB30" i="18"/>
  <c r="V14" i="18"/>
  <c r="AB14" i="18"/>
  <c r="V6" i="18"/>
  <c r="S9" i="1"/>
  <c r="AH9" i="1" s="1"/>
  <c r="AG9" i="1" s="1"/>
  <c r="AH34" i="18"/>
  <c r="AH18" i="18"/>
  <c r="J26" i="18"/>
  <c r="V42" i="18"/>
  <c r="P10" i="18"/>
  <c r="J34" i="18"/>
  <c r="AH10" i="18"/>
  <c r="P26" i="18"/>
  <c r="V34" i="18"/>
  <c r="J10" i="18"/>
  <c r="P18" i="18"/>
  <c r="V10" i="18"/>
  <c r="P42" i="18"/>
  <c r="S45" i="1"/>
  <c r="AH42" i="18"/>
  <c r="AB10" i="18"/>
  <c r="V18" i="18"/>
  <c r="J42" i="18"/>
  <c r="AB26" i="18"/>
  <c r="J18" i="18"/>
  <c r="AB34" i="18"/>
  <c r="P34" i="18"/>
  <c r="AH26" i="18"/>
  <c r="T45" i="1"/>
  <c r="AB42" i="18"/>
  <c r="AB18" i="18"/>
  <c r="V26" i="18"/>
  <c r="Z32" i="18"/>
  <c r="AL32" i="18"/>
  <c r="N8" i="18"/>
  <c r="Z40" i="18"/>
  <c r="N32" i="18"/>
  <c r="N40" i="18"/>
  <c r="S39" i="1"/>
  <c r="AL8" i="18"/>
  <c r="N16" i="18"/>
  <c r="Z24" i="18"/>
  <c r="T39" i="1"/>
  <c r="AF8" i="18"/>
  <c r="Z8" i="18"/>
  <c r="AL16" i="18"/>
  <c r="N24" i="18"/>
  <c r="AL40" i="18"/>
  <c r="Z16" i="18"/>
  <c r="T8" i="18"/>
  <c r="T24" i="18"/>
  <c r="AF16" i="18"/>
  <c r="AL24" i="18"/>
  <c r="AF24" i="18"/>
  <c r="T32" i="18"/>
  <c r="AF32" i="18"/>
  <c r="T16" i="18"/>
  <c r="T40" i="18"/>
  <c r="AF40" i="18"/>
  <c r="AB36" i="19" l="1"/>
  <c r="P16" i="19"/>
  <c r="J6" i="19"/>
  <c r="V26" i="19"/>
  <c r="AB6" i="19"/>
  <c r="P6" i="19"/>
  <c r="P46" i="19"/>
  <c r="AH36" i="19"/>
  <c r="P36" i="19"/>
  <c r="AH6" i="19"/>
  <c r="AB26" i="19"/>
  <c r="P26" i="19"/>
  <c r="J36" i="19"/>
  <c r="AH16" i="19"/>
  <c r="V46" i="19"/>
  <c r="AB16" i="19"/>
  <c r="V16" i="19"/>
  <c r="J26" i="19"/>
  <c r="AH46" i="19"/>
  <c r="AH26" i="19"/>
  <c r="V36" i="19"/>
  <c r="V6" i="19"/>
  <c r="AB46" i="19"/>
  <c r="J16" i="19"/>
  <c r="AI9" i="1"/>
  <c r="J46" i="19"/>
  <c r="V25" i="19"/>
  <c r="P45" i="19"/>
  <c r="AH15" i="19"/>
  <c r="J45" i="19"/>
  <c r="V45" i="19"/>
  <c r="V15" i="19"/>
  <c r="V35" i="19"/>
  <c r="P25" i="19"/>
  <c r="J15" i="19"/>
  <c r="J35" i="19"/>
  <c r="J55" i="19"/>
  <c r="P35" i="19"/>
  <c r="AB45" i="19"/>
  <c r="AH25" i="19"/>
  <c r="AH45" i="19"/>
  <c r="AB55" i="19"/>
  <c r="AH35" i="19"/>
  <c r="AH55" i="19"/>
  <c r="J25" i="19"/>
  <c r="AI63" i="1"/>
  <c r="V55" i="19"/>
  <c r="AB15" i="19"/>
  <c r="AB35" i="19"/>
  <c r="AB25" i="19"/>
  <c r="P55" i="19"/>
  <c r="P1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luisa</author>
    <author>Juan</author>
    <author>Andres Giovanny Cadena Herrera</author>
    <author>FAMILIA TORRES</author>
  </authors>
  <commentList>
    <comment ref="E4" authorId="0" shapeId="0" xr:uid="{8F8ECD9C-28DF-4CF7-8803-07C95BC87EBC}">
      <text>
        <r>
          <rPr>
            <sz val="9"/>
            <color indexed="81"/>
            <rFont val="Tahoma"/>
            <family val="2"/>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F4" authorId="0" shapeId="0" xr:uid="{29CA924B-CA3B-4505-8621-677EDCA03FE8}">
      <text>
        <r>
          <rPr>
            <sz val="9"/>
            <color indexed="81"/>
            <rFont val="Tahoma"/>
            <family val="2"/>
          </rPr>
          <t xml:space="preserve">Nombre de la oficina o Grupo Interno de Trabajo que pertenece el activo de información 
</t>
        </r>
      </text>
    </comment>
    <comment ref="G4" authorId="1" shapeId="0" xr:uid="{EAED78E3-AA2B-4EAA-A668-D6678A4C3833}">
      <text>
        <r>
          <rPr>
            <sz val="9"/>
            <color indexed="81"/>
            <rFont val="Tahoma"/>
            <family val="2"/>
          </rPr>
          <t>Indique el cargo del custodio de la información, es decir la persona que realiza el control en el acceso al activo de información. En caso de que el custodio sea un tercero, indicar la empresa y cargo del mismo.</t>
        </r>
      </text>
    </comment>
    <comment ref="H4" authorId="1" shapeId="0" xr:uid="{F665C2E9-E8E3-424E-9AB2-094160C81D90}">
      <text>
        <r>
          <rPr>
            <sz val="9"/>
            <color indexed="81"/>
            <rFont val="Tahoma"/>
            <family val="2"/>
          </rPr>
          <t>Registrar el código asignado al activo dentro del SIG, del cual se genera la información documentada conservada (documento de archivo - registro) o activo de información. Sí no se cuenta con un formato preestablecido para la generación del documento de archivo (registro), en este campo se incluye “No Aplica (N. A.)”.</t>
        </r>
      </text>
    </comment>
    <comment ref="I4" authorId="0" shapeId="0" xr:uid="{1E916637-CE31-4F25-97E8-3812ABFD3587}">
      <text>
        <r>
          <rPr>
            <sz val="9"/>
            <color indexed="81"/>
            <rFont val="Tahoma"/>
            <family val="2"/>
          </rPr>
          <t>Nombre completo del activo de información</t>
        </r>
      </text>
    </comment>
    <comment ref="K4" authorId="0" shapeId="0" xr:uid="{C974770F-CB1E-4EF2-860E-7F78E2E1D71C}">
      <text>
        <r>
          <rPr>
            <sz val="9"/>
            <color indexed="81"/>
            <rFont val="Tahoma"/>
            <family val="2"/>
          </rPr>
          <t>Realizar la descripción general del documento o activo de información, especificando la información que contiene.</t>
        </r>
      </text>
    </comment>
    <comment ref="L4" authorId="0" shapeId="0" xr:uid="{084AED92-5123-4780-B173-017023796D52}">
      <text>
        <r>
          <rPr>
            <sz val="9"/>
            <color indexed="81"/>
            <rFont val="Tahoma"/>
            <family val="2"/>
          </rPr>
          <t>Este campo sólo aplica para dispositivos.</t>
        </r>
      </text>
    </comment>
    <comment ref="M4" authorId="2" shapeId="0" xr:uid="{A53D422C-92DB-455F-B4D9-C5CCCB76E538}">
      <text>
        <r>
          <rPr>
            <sz val="9"/>
            <color indexed="81"/>
            <rFont val="Tahoma"/>
            <family val="2"/>
          </rPr>
          <t xml:space="preserve">Define si es un equipo propiedad de MINAMBIENTE, o es un equipo alquilado, también aplica para medios de almacenamiento como USB y define si es personal o del MINAMBIENTE.
</t>
        </r>
      </text>
    </comment>
    <comment ref="N4" authorId="0" shapeId="0" xr:uid="{023006D2-84C7-4C6A-B283-C3E278710371}">
      <text>
        <r>
          <rPr>
            <sz val="9"/>
            <color indexed="81"/>
            <rFont val="Tahoma"/>
            <family val="2"/>
          </rPr>
          <t>Idioma en la que fue producida la información</t>
        </r>
      </text>
    </comment>
    <comment ref="O4" authorId="0" shapeId="0" xr:uid="{88F0C98C-FFCA-4200-A0E3-AF89C06DAEAA}">
      <text>
        <r>
          <rPr>
            <sz val="9"/>
            <color indexed="81"/>
            <rFont val="Tahoma"/>
            <family val="2"/>
          </rPr>
          <t>Indicar si el activo se encuentra de forma fìsica o electronica
 Ej Físico: papel, Discos zip, discos duros, discos compactos, CD,  DVD,etc.
Ej Electrónico: carpetas digitales, aplicaciones, redes, correo electrónico, Intranet, Internet,etc</t>
        </r>
      </text>
    </comment>
    <comment ref="P4" authorId="3" shapeId="0" xr:uid="{E086037C-528E-4796-9CBF-437C3EE768D3}">
      <text>
        <r>
          <rPr>
            <sz val="9"/>
            <color indexed="81"/>
            <rFont val="Tahoma"/>
            <family val="2"/>
          </rPr>
          <t xml:space="preserve">Describe la ubicación física exacta del activo de información. Ej:  Archivo interno, Escritorio del Líder del proceso,  Cuarto de almacenamiento.
</t>
        </r>
      </text>
    </comment>
    <comment ref="Q4" authorId="3" shapeId="0" xr:uid="{698848AE-40EB-4ADD-9A8B-6D49AB4164BB}">
      <text>
        <r>
          <rPr>
            <sz val="9"/>
            <color indexed="81"/>
            <rFont val="Tahoma"/>
            <family val="2"/>
          </rPr>
          <t xml:space="preserve">Describe la ubicación electrónica exacta del activo de información, ruta: c:\Documentos\ejemplo.pdf
www.minambiente.gov.co
correo.minambiente.gov.co
</t>
        </r>
      </text>
    </comment>
    <comment ref="R4" authorId="0" shapeId="0" xr:uid="{FD6D78D2-3F8D-4E98-9355-11C21737A5DE}">
      <text>
        <r>
          <rPr>
            <sz val="9"/>
            <color indexed="81"/>
            <rFont val="Tahoma"/>
            <family val="2"/>
          </rPr>
          <t>Se debe identificar la forma, tamaño o modo en la que se presenta la información o el activo de información o se permite su visualización o consulta, tales como: hoja de cálculo, imagen, video, documento de texto, etc. Así mismo, si es necesario, especificar la extensión del archivo en el que se encuentra dicho documento, por ejemplo .jpg, .odt, .xls. 
Nota: Si el documento es análogo se debe diligenciar no aplica (N.A.)</t>
        </r>
      </text>
    </comment>
    <comment ref="S4" authorId="0" shapeId="0" xr:uid="{DCADFD52-5EBB-4EF8-AB56-A977BE75CA81}">
      <text>
        <r>
          <rPr>
            <sz val="9"/>
            <color indexed="81"/>
            <rFont val="Tahoma"/>
            <family val="2"/>
          </rPr>
          <t xml:space="preserve">Indicar si el documento de archivo (registro) se encuentra </t>
        </r>
        <r>
          <rPr>
            <b/>
            <sz val="9"/>
            <color indexed="81"/>
            <rFont val="Tahoma"/>
            <family val="2"/>
          </rPr>
          <t>DISPONIBLE</t>
        </r>
        <r>
          <rPr>
            <sz val="9"/>
            <color indexed="81"/>
            <rFont val="Tahoma"/>
            <family val="2"/>
          </rPr>
          <t xml:space="preserve"> (los usuarios pueden acceder a él en el lugar donde se ubica el documento original), </t>
        </r>
        <r>
          <rPr>
            <b/>
            <sz val="9"/>
            <color indexed="81"/>
            <rFont val="Tahoma"/>
            <family val="2"/>
          </rPr>
          <t>PUBLICADO</t>
        </r>
        <r>
          <rPr>
            <sz val="9"/>
            <color indexed="81"/>
            <rFont val="Tahoma"/>
            <family val="2"/>
          </rPr>
          <t xml:space="preserve"> (los usuarios pueden acceder en línea al documento, es decir, a través de la página web u otro medio habilitado para tal fin), o </t>
        </r>
        <r>
          <rPr>
            <b/>
            <sz val="9"/>
            <color indexed="81"/>
            <rFont val="Tahoma"/>
            <family val="2"/>
          </rPr>
          <t>DISPONIBLE Y PUBLICADO</t>
        </r>
        <r>
          <rPr>
            <sz val="9"/>
            <color indexed="81"/>
            <rFont val="Tahoma"/>
            <family val="2"/>
          </rPr>
          <t xml:space="preserve"> (puede presentarse que el original del documento de archivo (registro) se encuentre disponible, pero que exista publicada una copia del mismo).</t>
        </r>
      </text>
    </comment>
    <comment ref="T4" authorId="1" shapeId="0" xr:uid="{DF386EE0-5B3B-4702-97D6-F8A2804B890E}">
      <text>
        <r>
          <rPr>
            <sz val="9"/>
            <color indexed="81"/>
            <rFont val="Tahoma"/>
            <family val="2"/>
          </rPr>
          <t>Incluir el link de consulta del documento de archivo (registro) en el caso en que se encuentre en línea, es decir, a través de la página web u otro medio habilitado para tal fin. De lo contrario escriba “NA”.</t>
        </r>
      </text>
    </comment>
    <comment ref="U4" authorId="0" shapeId="0" xr:uid="{643F987B-B95B-4B66-8810-E0E9036D19AC}">
      <text>
        <r>
          <rPr>
            <sz val="9"/>
            <color indexed="81"/>
            <rFont val="Tahoma"/>
            <family val="2"/>
          </rPr>
          <t xml:space="preserve">Fecha en la cual se generó el activo de información, o si se realiza de forma PERMANENTE </t>
        </r>
      </text>
    </comment>
    <comment ref="AC4" authorId="1" shapeId="0" xr:uid="{06EC91D7-831D-43D0-83D7-743C98F37C46}">
      <text>
        <r>
          <rPr>
            <sz val="9"/>
            <color indexed="81"/>
            <rFont val="Tahoma"/>
            <family val="2"/>
          </rPr>
          <t>Establecer el tiempo en años definido en la TRD</t>
        </r>
      </text>
    </comment>
    <comment ref="AE4" authorId="1" shapeId="0" xr:uid="{A059B515-45B9-4256-B7B6-AC980CB2A02D}">
      <text>
        <r>
          <rPr>
            <sz val="9"/>
            <color indexed="81"/>
            <rFont val="Tahoma"/>
            <family val="2"/>
          </rPr>
          <t>Establecer la disposición final de acuerdo a lo definido en la TRD</t>
        </r>
      </text>
    </comment>
    <comment ref="AI4" authorId="0" shapeId="0" xr:uid="{8BFBEA1D-4517-4FD0-B607-1A0FF1E16ED3}">
      <text>
        <r>
          <rPr>
            <b/>
            <sz val="9"/>
            <color indexed="81"/>
            <rFont val="Tahoma"/>
            <family val="2"/>
          </rPr>
          <t>Información Pública Reservada:</t>
        </r>
        <r>
          <rPr>
            <sz val="9"/>
            <color indexed="81"/>
            <rFont val="Tahoma"/>
            <family val="2"/>
          </rPr>
          <t xml:space="preserve">
Para su transmisión por medios electrónicos es obligatorio solicitar acuse de recibo al destinatario. Se debe mantener guardar en un medio protegido con controles de acceso o si se encuentra en medio físico debe estar bajo llave de manera que solo esté para el acceso al propietario. Es aquella información "que estando en poder o custodia de un sujeto obligado en su calidad de tal, es exceptuada, de acceso a la ciudadanía por daño a intereses públicos y bajo cumplimiento de la totalidad de los requisitos consagrados en el artículo 19 de esta ley (1712 de 2014).
</t>
        </r>
        <r>
          <rPr>
            <b/>
            <sz val="9"/>
            <color indexed="81"/>
            <rFont val="Tahoma"/>
            <family val="2"/>
          </rPr>
          <t>Información Pública Clasificada:</t>
        </r>
        <r>
          <rPr>
            <sz val="9"/>
            <color indexed="81"/>
            <rFont val="Tahoma"/>
            <family val="2"/>
          </rPr>
          <t xml:space="preserve">
Solo deben tener acceso los funcionarios explícitamente autorizados. Es aquella información que estando en poder o custodia de un sujeto obligado en su calidad de tal, pertenece al ámbito propio, particular y privado o samiprivado de una persona natural o jurídica por lo que su acceso podrá ser negado o exceptuado, siempre que se trate de las circunstancias legítimas y necesarias y los derechos particulares o privados consagrados en el artículo 18 de la ley 1712 del 2014
</t>
        </r>
        <r>
          <rPr>
            <b/>
            <sz val="9"/>
            <color indexed="81"/>
            <rFont val="Tahoma"/>
            <family val="2"/>
          </rPr>
          <t>Información Pública:</t>
        </r>
        <r>
          <rPr>
            <sz val="9"/>
            <color indexed="81"/>
            <rFont val="Tahoma"/>
            <family val="2"/>
          </rPr>
          <t xml:space="preserve">
Se permite cualquier medio de divulgación o trasmisión que normalmente utilice el MINAMBIENTE, Se almacena en cualquier medio físico o magnético sin ningún tipo de protección. Es toda información que un sujeto obligado genere, obtenga, adquiera, o controle en su calidad de tal.
</t>
        </r>
      </text>
    </comment>
    <comment ref="AK4" authorId="0" shapeId="0" xr:uid="{C55FE222-CC3E-48EA-ABBD-AAE28A9A3D1D}">
      <text>
        <r>
          <rPr>
            <sz val="9"/>
            <color indexed="81"/>
            <rFont val="Tahoma"/>
            <family val="2"/>
          </rPr>
          <t xml:space="preserve">Propiedad de salvaguardar la exactitud y estado completo de los activos. Esta propiedad es la que permite que la información sea precisa, coherente y completa desde su creación hasta su destrucción.
Se puede clasificar en los siguientes tres niveles:
</t>
        </r>
        <r>
          <rPr>
            <b/>
            <sz val="9"/>
            <color indexed="81"/>
            <rFont val="Tahoma"/>
            <family val="2"/>
          </rPr>
          <t>Alto</t>
        </r>
        <r>
          <rPr>
            <sz val="9"/>
            <color indexed="81"/>
            <rFont val="Tahoma"/>
            <family val="2"/>
          </rPr>
          <t xml:space="preserve">: La pérdida de la exactitud y completitud del activo de información y su gestión  puede conllevar un impacto negativo de índole legal o económica, retrasar sus funciones o generar pérdidas de imagen severas para MINAMBIENTE o las partes interesadas.
</t>
        </r>
        <r>
          <rPr>
            <b/>
            <sz val="9"/>
            <color indexed="81"/>
            <rFont val="Tahoma"/>
            <family val="2"/>
          </rPr>
          <t>Medio:</t>
        </r>
        <r>
          <rPr>
            <sz val="9"/>
            <color indexed="81"/>
            <rFont val="Tahoma"/>
            <family val="2"/>
          </rPr>
          <t xml:space="preserve"> La pérdida de la exactitud y completitud del activo de información y su gestión puede conllevar un impacto negativo de índole legal o económica, retrasar sus funciones, o generar pérdida de imagen moderado para el proceso evaluado
</t>
        </r>
        <r>
          <rPr>
            <b/>
            <sz val="9"/>
            <color indexed="81"/>
            <rFont val="Tahoma"/>
            <family val="2"/>
          </rPr>
          <t>Bajo:</t>
        </r>
        <r>
          <rPr>
            <sz val="9"/>
            <color indexed="81"/>
            <rFont val="Tahoma"/>
            <family val="2"/>
          </rPr>
          <t xml:space="preserve"> La pérdida de la exactitud y completitud del activo de información y su gestión, no genera impacto negativo para la el proceso evaluado o entes externos.
</t>
        </r>
      </text>
    </comment>
    <comment ref="AM4" authorId="0" shapeId="0" xr:uid="{502587AA-6BA3-417A-8BC5-8A263172F212}">
      <text>
        <r>
          <rPr>
            <sz val="9"/>
            <color indexed="81"/>
            <rFont val="Tahoma"/>
            <family val="2"/>
          </rPr>
          <t xml:space="preserve">Propiedad de que la información sea accesible y utilizable por solicitud de una entidad autorizada, Se puede clasificar en los siguientes tres niveles:
</t>
        </r>
        <r>
          <rPr>
            <b/>
            <sz val="9"/>
            <color indexed="81"/>
            <rFont val="Tahoma"/>
            <family val="2"/>
          </rPr>
          <t>Alto:</t>
        </r>
        <r>
          <rPr>
            <sz val="9"/>
            <color indexed="81"/>
            <rFont val="Tahoma"/>
            <family val="2"/>
          </rPr>
          <t xml:space="preserve"> La ausencia del activo de información y su gestión puede conllevar un impacto negativo de índole legal o económica, retrasar sus funciones, o generar pérdida de imagen severa para las partes interesadas. 
</t>
        </r>
        <r>
          <rPr>
            <b/>
            <sz val="9"/>
            <color indexed="81"/>
            <rFont val="Tahoma"/>
            <family val="2"/>
          </rPr>
          <t>Medio:</t>
        </r>
        <r>
          <rPr>
            <sz val="9"/>
            <color indexed="81"/>
            <rFont val="Tahoma"/>
            <family val="2"/>
          </rPr>
          <t xml:space="preserve"> La ausencia del activo de información y su gestión puede conllevar un impacto negativo de índole legal o económica, retrasar sus funciones, o generar pérdida de imagen moderado para la Entidad.
</t>
        </r>
        <r>
          <rPr>
            <b/>
            <sz val="9"/>
            <color indexed="81"/>
            <rFont val="Tahoma"/>
            <family val="2"/>
          </rPr>
          <t>Bajo:</t>
        </r>
        <r>
          <rPr>
            <sz val="9"/>
            <color indexed="81"/>
            <rFont val="Tahoma"/>
            <family val="2"/>
          </rPr>
          <t xml:space="preserve"> La ausencia del activo de información puede afectar la operación normal de la Entidad o partes interesadas, pero no conlleva implicaciones legales, económicas o de pérdida de imagen. </t>
        </r>
      </text>
    </comment>
    <comment ref="AO4" authorId="0" shapeId="0" xr:uid="{6AAE8FD8-C2D7-4156-B407-6C4EF5902161}">
      <text>
        <r>
          <rPr>
            <sz val="9"/>
            <color indexed="81"/>
            <rFont val="Tahoma"/>
            <family val="2"/>
          </rPr>
          <t>Cálculo automático</t>
        </r>
        <r>
          <rPr>
            <sz val="9"/>
            <color indexed="81"/>
            <rFont val="Tahoma"/>
            <family val="2"/>
          </rPr>
          <t xml:space="preserve">
</t>
        </r>
      </text>
    </comment>
    <comment ref="AP4" authorId="0" shapeId="0" xr:uid="{750BE0C9-77F9-49B1-B4E6-B6EE8BD9A848}">
      <text>
        <r>
          <rPr>
            <sz val="9"/>
            <color indexed="81"/>
            <rFont val="Tahoma"/>
            <family val="2"/>
          </rPr>
          <t xml:space="preserve">Son los datos personales de los niños, niñas y adolescentes, cuyo tratamiento está prohibido, salvo que se trate de datos de naturaleza pública. Ej. Registro civil
</t>
        </r>
      </text>
    </comment>
    <comment ref="AQ4" authorId="0" shapeId="0" xr:uid="{D1BD1FD7-A7E0-4C9D-BFAA-02F32A165504}">
      <text>
        <r>
          <rPr>
            <sz val="9"/>
            <color indexed="81"/>
            <rFont val="Tahoma"/>
            <family val="2"/>
          </rPr>
          <t xml:space="preserve">Seleccionar cuando el activo de información contenga datos personales en cualquiera de sus clasificaciones
</t>
        </r>
      </text>
    </comment>
    <comment ref="AR4" authorId="0" shapeId="0" xr:uid="{7FC309F4-B7E8-4DD5-9823-39BF26DC2184}">
      <text>
        <r>
          <rPr>
            <sz val="9"/>
            <color indexed="81"/>
            <rFont val="Tahoma"/>
            <family val="2"/>
          </rPr>
          <t>Implica la mención de una o varias de las excepciones taxativas que se establecen en los artículos 18 y 19 de la Ley 1712. Es decir, las contenidas en los literales de los artículos mencionados.</t>
        </r>
      </text>
    </comment>
    <comment ref="AS4" authorId="0" shapeId="0" xr:uid="{A5E85A08-BBEC-45D9-BCBB-DFC226C3035B}">
      <text>
        <r>
          <rPr>
            <sz val="9"/>
            <color indexed="81"/>
            <rFont val="Tahoma"/>
            <family val="2"/>
          </rPr>
          <t xml:space="preserve">Hace referencia a las normas de rango constitucional o legal que establecen los intereses que se buscan proteger. Por ejemplo, en el caso de que se busque salvaguardar el derecho a la intimidad personal o al buen nombre, se hace referencia al artículo 15 de la Carta Política.
</t>
        </r>
      </text>
    </comment>
    <comment ref="AT4" authorId="0" shapeId="0" xr:uid="{C6FA695B-E7EB-431A-A1E7-6F5A55384D0A}">
      <text>
        <r>
          <rPr>
            <sz val="9"/>
            <color indexed="81"/>
            <rFont val="Tahoma"/>
            <family val="2"/>
          </rPr>
          <t>Se refiere a las normas de carácter reglamentario, jurisprudencia o doctrina</t>
        </r>
      </text>
    </comment>
    <comment ref="AU4" authorId="0" shapeId="0" xr:uid="{276C2D8F-4458-441B-B914-AA750A0A8931}">
      <text>
        <r>
          <rPr>
            <sz val="9"/>
            <color indexed="81"/>
            <rFont val="Tahoma"/>
            <family val="2"/>
          </rPr>
          <t>Debe señalarse si la excepción al acceso aplica para toda la información o solamente para ciertos puntos específicos. En este último caso, debe señalarse expresamente cuáles.</t>
        </r>
      </text>
    </comment>
    <comment ref="AV4" authorId="0" shapeId="0" xr:uid="{37EBBF77-6A2D-444E-B87B-B47D0A62839D}">
      <text>
        <r>
          <rPr>
            <sz val="9"/>
            <color indexed="81"/>
            <rFont val="Tahoma"/>
            <family val="2"/>
          </rPr>
          <t xml:space="preserve">La fecha en que se califica la información como clasificada o reservada, de acuerdo al artículo 2.1.1.4.2.3 del Decreto 1581 de 2015. </t>
        </r>
      </text>
    </comment>
    <comment ref="AW4" authorId="0" shapeId="0" xr:uid="{B413FFA6-8563-4848-853F-7C53A81A187F}">
      <text>
        <r>
          <rPr>
            <sz val="9"/>
            <color indexed="81"/>
            <rFont val="Tahoma"/>
            <family val="2"/>
          </rPr>
          <t xml:space="preserve">El tiempo que dura la clasificación. En el caso de la información clasificada, el término es ilimitado, al tenor de lo establecido en el parágrafo único del artículo 18 de la Ley 1712. Para la información reservada, el tiempo máximo es de 15 años, de acuerdo al artículo 22 del mismo cuerpo normativo, pero siempre bajo el entendido de que el lapso puede ser menor, según las circunstancias de cada caso
</t>
        </r>
      </text>
    </comment>
    <comment ref="AX4" authorId="0" shapeId="0" xr:uid="{5E648B23-F22B-47B2-864E-7A9D5303579E}">
      <text>
        <r>
          <rPr>
            <sz val="9"/>
            <color indexed="81"/>
            <rFont val="Tahoma"/>
            <family val="2"/>
          </rPr>
          <t>Realiza el almacenamiento de la información para tener una copia de respaldo</t>
        </r>
      </text>
    </comment>
    <comment ref="AY4" authorId="0" shapeId="0" xr:uid="{29C1C4F2-F24A-47F7-8F98-8510D09E9027}">
      <text>
        <r>
          <rPr>
            <sz val="9"/>
            <color indexed="81"/>
            <rFont val="Tahoma"/>
            <family val="2"/>
          </rPr>
          <t>Describa el tipo de backup que se está realizando de su información.
Completo: Toda la información.
Diferencial: Agrega la información que cambió desde el último Backup Completo, diferencial o incremental utilizando un proceso de comparación.
Incremental: Agrega la información que ha sido modificada desde el último Backup Completo.</t>
        </r>
      </text>
    </comment>
    <comment ref="AZ4" authorId="0" shapeId="0" xr:uid="{BA13FF9D-D1F1-406E-A650-B774627CA495}">
      <text>
        <r>
          <rPr>
            <sz val="9"/>
            <color indexed="81"/>
            <rFont val="Tahoma"/>
            <family val="2"/>
          </rPr>
          <t>Frecuencia con la que se realiza el backup que puede ser diaria, semanal, quincenal, mensual o anual.</t>
        </r>
      </text>
    </comment>
    <comment ref="BA4" authorId="0" shapeId="0" xr:uid="{173BA15E-D850-471E-951C-C7E1E69E3CF2}">
      <text>
        <r>
          <rPr>
            <sz val="9"/>
            <color indexed="81"/>
            <rFont val="Tahoma"/>
            <family val="2"/>
          </rPr>
          <t>Lugar donde se almacena el Backup:  USB, Discos Duros, Cintotecas, Data Center, servidores, tercerizado, entre otros.</t>
        </r>
      </text>
    </comment>
    <comment ref="BD4" authorId="1" shapeId="0" xr:uid="{601C5EC2-D7F5-4F63-8F67-DBD644646572}">
      <text>
        <r>
          <rPr>
            <sz val="9"/>
            <color indexed="81"/>
            <rFont val="Tahoma"/>
            <family val="2"/>
          </rPr>
          <t>Diligenciar (SÍ/NO) si la información documentada conservada contiene datos abiertos los cuales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t>
        </r>
      </text>
    </comment>
    <comment ref="B5" authorId="1" shapeId="0" xr:uid="{B3ECEFFF-0F65-48F8-88CC-0FF0CC633901}">
      <text>
        <r>
          <rPr>
            <sz val="9"/>
            <color indexed="81"/>
            <rFont val="Tahoma"/>
            <family val="2"/>
          </rPr>
          <t xml:space="preserve">En caso de no existir un proceso definido, relacione la norma y el (los) artículo(s) que permite la producción de la información documentada conservada (documento de archivo - registro) o activo de información. </t>
        </r>
      </text>
    </comment>
    <comment ref="C5" authorId="1" shapeId="0" xr:uid="{F8A10EA4-AA58-4085-AAB7-288F91A8BA08}">
      <text>
        <r>
          <rPr>
            <sz val="9"/>
            <color indexed="81"/>
            <rFont val="Tahoma"/>
            <family val="2"/>
          </rPr>
          <t xml:space="preserve">En caso de no existir un proceso definido, relacione la función que permite la producción la información documentada conservada (documento de archivo - registro) o activo de información. </t>
        </r>
      </text>
    </comment>
    <comment ref="D5" authorId="1" shapeId="0" xr:uid="{49A4B697-F727-49AE-A913-9479881FCBFB}">
      <text>
        <r>
          <rPr>
            <sz val="9"/>
            <color indexed="81"/>
            <rFont val="Tahoma"/>
            <family val="2"/>
          </rPr>
          <t xml:space="preserve">Registrar el nombre del proceso definido en el SIG al cual pertenece la información documentada conservada (documento de archivo - registro) o activo de información. </t>
        </r>
      </text>
    </comment>
    <comment ref="V5" authorId="1" shapeId="0" xr:uid="{7268939C-22F0-4BFB-AE37-E6B1EDF7997C}">
      <text>
        <r>
          <rPr>
            <sz val="9"/>
            <color indexed="81"/>
            <rFont val="Tahoma"/>
            <family val="2"/>
          </rPr>
          <t>Tipo de Origen del documento cuando la información o el activo de información es generado por la entidad.</t>
        </r>
      </text>
    </comment>
    <comment ref="W5" authorId="1" shapeId="0" xr:uid="{1B0C04C7-0717-429E-B783-B7C8763E6644}">
      <text>
        <r>
          <rPr>
            <sz val="9"/>
            <color indexed="81"/>
            <rFont val="Tahoma"/>
            <family val="2"/>
          </rPr>
          <t>Tipo de Origen del documento cuando la información o el activo de información es generado por una persona natural o jurídica diferente a la entidad y hace parte de las actividades de esta.</t>
        </r>
      </text>
    </comment>
    <comment ref="X5" authorId="1" shapeId="0" xr:uid="{7BEEE8A2-BB9E-4336-A096-ACD6F2214DB8}">
      <text>
        <r>
          <rPr>
            <sz val="9"/>
            <color indexed="81"/>
            <rFont val="Tahoma"/>
            <family val="2"/>
          </rPr>
          <t>Tipo de Origen del documento cuando la información o el activo de información es generado por la entidad y por una persona natural o jurídica diferente a la entidad y hace parte de las actividades de esta.</t>
        </r>
      </text>
    </comment>
    <comment ref="Y5" authorId="1" shapeId="0" xr:uid="{E1C06390-65E1-43AC-B1D7-185891B47383}">
      <text>
        <r>
          <rPr>
            <sz val="9"/>
            <color indexed="81"/>
            <rFont val="Tahoma"/>
            <family val="2"/>
          </rPr>
          <t>Diligenciar (SÍ/NO) si la información documentada conservada o el activo de información hacen parte de una agrupación documental. En caso afirmativo, diligenciar los campos serie y subserie.</t>
        </r>
      </text>
    </comment>
    <comment ref="AA5" authorId="1" shapeId="0" xr:uid="{E4C6F529-44D6-4E83-A75D-936DB9673610}">
      <text>
        <r>
          <rPr>
            <sz val="9"/>
            <color indexed="81"/>
            <rFont val="Tahoma"/>
            <family val="2"/>
          </rPr>
          <t>Registrar el nombre asignado en la tabla de retención documental para la serie. En caso de no contar con una clasificación documental, en este campo se registra la expresión “sin establecer” y se procede a revisar el cuadro de clasificación documental ya sea para la actualización o para la elaboración de la TRD, según corresponda.</t>
        </r>
      </text>
    </comment>
    <comment ref="AB5" authorId="1" shapeId="0" xr:uid="{06C04ECD-7BE6-476C-BEAA-3636C02159A6}">
      <text>
        <r>
          <rPr>
            <sz val="9"/>
            <color indexed="81"/>
            <rFont val="Tahoma"/>
            <family val="2"/>
          </rPr>
          <t>Registrar el nombre asignado en la tabla de retención documental para la subserie. En caso de no contar con una clasificación documental, en este campo se registra la expresión “sin establecer” y se procede a revisar el cuadro de clasificación documental ya sea para la actualización o para la elaboración de la TRD, según corresponda.</t>
        </r>
      </text>
    </comment>
    <comment ref="BB6" authorId="0" shapeId="0" xr:uid="{C01AEB87-45D3-4021-ABC4-CFDBC9FFF623}">
      <text>
        <r>
          <rPr>
            <sz val="9"/>
            <color indexed="81"/>
            <rFont val="Tahoma"/>
            <family val="2"/>
          </rPr>
          <t>Fecha de ingreso del activo en el inventario de activos.</t>
        </r>
      </text>
    </comment>
    <comment ref="BC6" authorId="0" shapeId="0" xr:uid="{0144D3B5-85B6-4E21-93D1-9A4DE3192D48}">
      <text>
        <r>
          <rPr>
            <sz val="9"/>
            <color indexed="81"/>
            <rFont val="Tahoma"/>
            <family val="2"/>
          </rPr>
          <t>Fecha de exclusión del activo de información en el inventario de activos.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luisa</author>
  </authors>
  <commentList>
    <comment ref="C5" authorId="0" shapeId="0" xr:uid="{D313B3B9-615F-4CD2-93E2-77FB7A4D628B}">
      <text>
        <r>
          <rPr>
            <sz val="9"/>
            <color indexed="81"/>
            <rFont val="Tahoma"/>
            <family val="2"/>
          </rPr>
          <t>Diligenciar de acuerdo al grupo de activos de información identificados de acuerdo con sus características propias (disponibilidad, integridad y confidencialidad)</t>
        </r>
      </text>
    </comment>
    <comment ref="M5" authorId="0" shapeId="0" xr:uid="{C48A1D5A-C40F-42F0-8F16-16281320049F}">
      <text>
        <r>
          <rPr>
            <sz val="9"/>
            <color indexed="81"/>
            <rFont val="Arial Narrow"/>
            <family val="2"/>
          </rPr>
          <t>Número de veces que se ejecuta la actividad durante el año</t>
        </r>
        <r>
          <rPr>
            <sz val="9"/>
            <color indexed="81"/>
            <rFont val="Tahoma"/>
            <family val="2"/>
          </rPr>
          <t xml:space="preserve">
</t>
        </r>
      </text>
    </comment>
    <comment ref="H8" authorId="0" shapeId="0" xr:uid="{763DCE25-D01B-4217-BB03-0713987933E8}">
      <text>
        <r>
          <rPr>
            <sz val="9"/>
            <color indexed="81"/>
            <rFont val="Arial Narrow"/>
            <family val="2"/>
          </rPr>
          <t xml:space="preserve">La redacción inicia con POSIBILIDAD DE + Impacto para la entidad (Qué) + Causa Inmediata (Cómo) + Causa Raíz (Por qué)
Ejemplo: Posibilidad de afectación económica por multa y sanción del ente regulador debido a adquisición de bienes y servicios fuera de los requerimientos normativos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<sst xmlns="http://schemas.openxmlformats.org/spreadsheetml/2006/main" count="1477" uniqueCount="1102">
  <si>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</si>
  <si>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</si>
  <si>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</si>
  <si>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</si>
  <si>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</si>
  <si>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</si>
  <si>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</si>
  <si>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</si>
  <si>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</si>
  <si>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</si>
  <si>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</si>
  <si>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</si>
  <si>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</si>
  <si>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</si>
  <si>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</si>
  <si>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</si>
  <si>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</si>
  <si>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</si>
  <si>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</si>
  <si>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</si>
  <si>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</si>
  <si>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</si>
  <si>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</si>
  <si>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</si>
  <si>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</si>
  <si>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</si>
  <si>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</si>
  <si>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</si>
  <si>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</si>
  <si>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</si>
  <si>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</si>
  <si>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</si>
  <si>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Estado</t>
  </si>
  <si>
    <t>Finalizado</t>
  </si>
  <si>
    <t>En curso</t>
  </si>
  <si>
    <t>Causa Raíz</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</si>
  <si>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</si>
  <si>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</si>
  <si>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</si>
  <si>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</si>
  <si>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</si>
  <si>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</si>
  <si>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</si>
  <si>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</si>
  <si>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</si>
  <si>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</si>
  <si>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</si>
  <si>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</si>
  <si>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</si>
  <si>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</si>
  <si>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</si>
  <si>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</si>
  <si>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</si>
  <si>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</si>
  <si>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</si>
  <si>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</si>
  <si>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</si>
  <si>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</si>
  <si>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</si>
  <si>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</si>
  <si>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</si>
  <si>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</si>
  <si>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</si>
  <si>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</si>
  <si>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</si>
  <si>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</si>
  <si>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</si>
  <si>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</si>
  <si>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</si>
  <si>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</si>
  <si>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</si>
  <si>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</si>
  <si>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</si>
  <si>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</si>
  <si>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</si>
  <si>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</si>
  <si>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</si>
  <si>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</si>
  <si>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</si>
  <si>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</si>
  <si>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</si>
  <si>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</si>
  <si>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</si>
  <si>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</si>
  <si>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</si>
  <si>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</si>
  <si>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</si>
  <si>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</si>
  <si>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</si>
  <si>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</si>
  <si>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</si>
  <si>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</si>
  <si>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</si>
  <si>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</si>
  <si>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</si>
  <si>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</si>
  <si>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</si>
  <si>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</si>
  <si>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</si>
  <si>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</si>
  <si>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</si>
  <si>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</si>
  <si>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</si>
  <si>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</si>
  <si>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</si>
  <si>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</si>
  <si>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</si>
  <si>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</si>
  <si>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</si>
  <si>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</si>
  <si>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</si>
  <si>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</si>
  <si>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</si>
  <si>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</si>
  <si>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</si>
  <si>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</si>
  <si>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</si>
  <si>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</si>
  <si>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</si>
  <si>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</si>
  <si>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</si>
  <si>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</si>
  <si>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Reducir (mitigar)</t>
  </si>
  <si>
    <t>Reducir (compartir)</t>
  </si>
  <si>
    <t>Probabilidad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</si>
  <si>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</si>
  <si>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</si>
  <si>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</si>
  <si>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</si>
  <si>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</si>
  <si>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</si>
  <si>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</si>
  <si>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</si>
  <si>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</si>
  <si>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</si>
  <si>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</si>
  <si>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</si>
  <si>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</si>
  <si>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</si>
  <si>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</si>
  <si>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</si>
  <si>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</si>
  <si>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</si>
  <si>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</si>
  <si>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</si>
  <si>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</si>
  <si>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</si>
  <si>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</si>
  <si>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</si>
  <si>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</si>
  <si>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</si>
  <si>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</si>
  <si>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</si>
  <si>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</si>
  <si>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</si>
  <si>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</si>
  <si>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</si>
  <si>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</si>
  <si>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</si>
  <si>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</si>
  <si>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</si>
  <si>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</si>
  <si>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</si>
  <si>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</si>
  <si>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</si>
  <si>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</si>
  <si>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</si>
  <si>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</si>
  <si>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</si>
  <si>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</si>
  <si>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</si>
  <si>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</si>
  <si>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</si>
  <si>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</si>
  <si>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</si>
  <si>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</si>
  <si>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</si>
  <si>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</si>
  <si>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</si>
  <si>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</si>
  <si>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</si>
  <si>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</si>
  <si>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</si>
  <si>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</si>
  <si>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</si>
  <si>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</si>
  <si>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</si>
  <si>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</si>
  <si>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</si>
  <si>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</si>
  <si>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</si>
  <si>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</si>
  <si>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</si>
  <si>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</si>
  <si>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</si>
  <si>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</si>
  <si>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Solicitud de cierre</t>
  </si>
  <si>
    <t>Solicitud de ajuste</t>
  </si>
  <si>
    <t>Gestión Documental</t>
  </si>
  <si>
    <t>PROCESO</t>
  </si>
  <si>
    <t>CONSECUENCIA</t>
  </si>
  <si>
    <t>PROCESOS</t>
  </si>
  <si>
    <t>FUERTE</t>
  </si>
  <si>
    <t>MODERADO</t>
  </si>
  <si>
    <t>DEBIL</t>
  </si>
  <si>
    <t>DIRECTAMENTE</t>
  </si>
  <si>
    <t>NO DISMINUYE</t>
  </si>
  <si>
    <t>INDIRECTAMENTE</t>
  </si>
  <si>
    <t>Compartir</t>
  </si>
  <si>
    <t>Efectividad= Se materializó el riesgo SI/NO</t>
  </si>
  <si>
    <t>Eficacia= Indice de cumplimiento de actividades</t>
  </si>
  <si>
    <t>Lo que podría afectar o generar  …</t>
  </si>
  <si>
    <t>Puede ocurrir …</t>
  </si>
  <si>
    <t>FECHA</t>
  </si>
  <si>
    <t>COMENTARIOS</t>
  </si>
  <si>
    <t>¿SE MATERIALIZÓ EL RIESGO?</t>
  </si>
  <si>
    <t xml:space="preserve">OBSERVACIONES </t>
  </si>
  <si>
    <t>RESPONSABLE</t>
  </si>
  <si>
    <t>ACCIONES A TOMAR</t>
  </si>
  <si>
    <t xml:space="preserve">PRODUCTO /EVIDENCIA DE CUMPLIMIENTO/INDICADOR PARA EVALUAR ACCIONES
IMPLEMENTADAS  </t>
  </si>
  <si>
    <t>PROBABILIDAD</t>
  </si>
  <si>
    <t xml:space="preserve">RIESGO </t>
  </si>
  <si>
    <t>SEGUIMIENTO OFICINA DE CONTROL INTERNO (3RA LINEA DE DEFENSA)</t>
  </si>
  <si>
    <t>MONITOREO POR PROCESO (2DA LINEA DE DEFENSA)</t>
  </si>
  <si>
    <t>AVANCE POR PROCESOS (1ERA LINEA DE DEFENSA)</t>
  </si>
  <si>
    <r>
      <t xml:space="preserve">PLAN DE CONTINGENCIA
</t>
    </r>
    <r>
      <rPr>
        <sz val="10"/>
        <color theme="0"/>
        <rFont val="Arial Narrow"/>
        <family val="2"/>
      </rPr>
      <t>(en caso que se materialice)</t>
    </r>
  </si>
  <si>
    <t>PLAN DE MANEJO DEL RIESGO</t>
  </si>
  <si>
    <t xml:space="preserve">IDENTIFICACIÓN DEL RIESGO </t>
  </si>
  <si>
    <t xml:space="preserve">MINISTERIO DE AMBIENTE Y 
DESARROLLO SOSTENIBLE </t>
  </si>
  <si>
    <t>EXTREMA</t>
  </si>
  <si>
    <t>ALTA</t>
  </si>
  <si>
    <t>MODERADA</t>
  </si>
  <si>
    <t>BAJA</t>
  </si>
  <si>
    <t>CASI SEGURO</t>
  </si>
  <si>
    <t>PROBABLE</t>
  </si>
  <si>
    <t>POSIBLE</t>
  </si>
  <si>
    <t>IMPROBABLE</t>
  </si>
  <si>
    <t>RARO</t>
  </si>
  <si>
    <t>Evaluación Independiente</t>
  </si>
  <si>
    <t>Gestión Disciplinaria</t>
  </si>
  <si>
    <t>Gestión de Servicios de Información y Soporte Tecnológico</t>
  </si>
  <si>
    <t>Contratación</t>
  </si>
  <si>
    <t>Gestión Jurídica</t>
  </si>
  <si>
    <t>Administración del Talento Humano</t>
  </si>
  <si>
    <t>DÉBIL
menor a 85</t>
  </si>
  <si>
    <t>Gestión Administrativa, Comisiones y Apoyo Logístico</t>
  </si>
  <si>
    <t xml:space="preserve">MODERADO
entre 86 y 95 </t>
  </si>
  <si>
    <t>Ambiental</t>
  </si>
  <si>
    <t>Gestión Financiera</t>
  </si>
  <si>
    <t>DÉBIL = 0
débil + débil</t>
  </si>
  <si>
    <t xml:space="preserve">FUERTE
entre 96 y 100 </t>
  </si>
  <si>
    <t>Seguridad digital</t>
  </si>
  <si>
    <t>Servicio al Ciudadano</t>
  </si>
  <si>
    <t>DÉBIL = 0
débil + moderado</t>
  </si>
  <si>
    <t>RANGO DE CALIFICACIÒN DEL DISEÑO DEL CONTROL</t>
  </si>
  <si>
    <t>Corrupción</t>
  </si>
  <si>
    <t>Gestión del Desarrollo Sostenible</t>
  </si>
  <si>
    <t>DÉBIL = 0
débil + fuerte</t>
  </si>
  <si>
    <t>Tecnología</t>
  </si>
  <si>
    <t>Instrumentación Ambiental</t>
  </si>
  <si>
    <t>DÉBIL = 0
moderado + débil</t>
  </si>
  <si>
    <t>Cumplimiento</t>
  </si>
  <si>
    <t>Formulación y Seguimiento de Políticas Públicas Ambientales</t>
  </si>
  <si>
    <t>MODERADO = 50
moderado + moderado</t>
  </si>
  <si>
    <t>Casi Seguro</t>
  </si>
  <si>
    <t>Financiero</t>
  </si>
  <si>
    <t>Negociación Internacional, Recursos de Cooperación y Banca</t>
  </si>
  <si>
    <t>MODERADO =50
moderado + fuerte</t>
  </si>
  <si>
    <t>Probable</t>
  </si>
  <si>
    <t>Operativo</t>
  </si>
  <si>
    <t>Gestión de Comunicación Estratégica</t>
  </si>
  <si>
    <t>DÉBIL = 0
fuerte + débil</t>
  </si>
  <si>
    <t>DÉBIL
(no se ejecuta)</t>
  </si>
  <si>
    <t>DÉBIL
menor a 50</t>
  </si>
  <si>
    <t>Compartir o transferir</t>
  </si>
  <si>
    <t>Posible</t>
  </si>
  <si>
    <t>Imagen</t>
  </si>
  <si>
    <t>Gestión Estratégica de Tecnologías de la Información</t>
  </si>
  <si>
    <t xml:space="preserve">MODERADO = 50
fuerte + moderado </t>
  </si>
  <si>
    <t>MODERADO
(algunas veces)</t>
  </si>
  <si>
    <t>MODERADO
entre 50 y 99</t>
  </si>
  <si>
    <t>Improbable</t>
  </si>
  <si>
    <t>Gerencial</t>
  </si>
  <si>
    <t>Administración del Sistema Integrado de Gestión</t>
  </si>
  <si>
    <t>FUERTE = 100
fuerte + fuerte</t>
  </si>
  <si>
    <t>FUERTE
(siempre se ejecuta)</t>
  </si>
  <si>
    <t>FUERTE
igual a 100</t>
  </si>
  <si>
    <t>Rara vez</t>
  </si>
  <si>
    <t>Estratégico</t>
  </si>
  <si>
    <t>Gestión Integrada del Portafolio de Planes, Programas y Proyectos</t>
  </si>
  <si>
    <t>TIPO DE CONTROL</t>
  </si>
  <si>
    <t xml:space="preserve">SOLIDEZ INDIVIDUAL DE CADA CONTROL: FUERTE: 100
 MODERADO 50 
DEBIL 0 </t>
  </si>
  <si>
    <t xml:space="preserve">RANGO DE CALIFICACIÓN DE LA EJECUCIÓN  </t>
  </si>
  <si>
    <t>CALIFICACIÓN DE LA SOLIDES DEL CONJUNTO DE CONTROLES</t>
  </si>
  <si>
    <t>TRATAMIENTO DEL RIESGO</t>
  </si>
  <si>
    <t>CLASIFICACIÓN DEL RIESGO</t>
  </si>
  <si>
    <t>DESCRIPCIÓN DEL CONTROL</t>
  </si>
  <si>
    <t>ZONA DE RIESGO INHERENTE</t>
  </si>
  <si>
    <t>IMPACTO INHERENTE</t>
  </si>
  <si>
    <t xml:space="preserve"> CRITERIOS DE IMPACTO</t>
  </si>
  <si>
    <t>PROBABILIDAD INHERENTE</t>
  </si>
  <si>
    <t>FRECUENCIA CON LA CUAL SE REALIZA LA ACTIVIDAD</t>
  </si>
  <si>
    <t>CAUSA /VULNERABILIDAD
Debido a …</t>
  </si>
  <si>
    <t xml:space="preserve">IMPACTO PARA LA ENTIDAD
¿Qué? </t>
  </si>
  <si>
    <t>EVALUACIÓN DEL RIESGO - NIVEL DEL RIESGO RESIDUAL</t>
  </si>
  <si>
    <t>EVALUACIÓN DEL RIESGO - VALORACIÓN DE LOS CONTROLES</t>
  </si>
  <si>
    <t>ANÁLISIS DEL RIESGO INHERENTE</t>
  </si>
  <si>
    <t xml:space="preserve">FECHA DE CUMPLIMIENTO </t>
  </si>
  <si>
    <t>DESCRIPCIÓN DEL AVANCE ACCIONES  DEL PLAN DE MANEJO DEL RIESGO Y CONTROLES</t>
  </si>
  <si>
    <t xml:space="preserve">ESTADO </t>
  </si>
  <si>
    <t>REFERENCIA</t>
  </si>
  <si>
    <t>Fecha de salida del Activo
(DD/MM/AAAA)</t>
  </si>
  <si>
    <t>Fecha de Ingreso del Activo
(DD/MM/AAAA)</t>
  </si>
  <si>
    <t>Privado</t>
  </si>
  <si>
    <t>Público</t>
  </si>
  <si>
    <t>I</t>
  </si>
  <si>
    <t>CENTRAL</t>
  </si>
  <si>
    <t>NO</t>
  </si>
  <si>
    <t>SI</t>
  </si>
  <si>
    <t>Selección</t>
  </si>
  <si>
    <t>Microfilmación /Digitalización</t>
  </si>
  <si>
    <t>Eliminación</t>
  </si>
  <si>
    <t>Conservación Total</t>
  </si>
  <si>
    <t>GESTIÓN</t>
  </si>
  <si>
    <t xml:space="preserve"> Subserie</t>
  </si>
  <si>
    <t>Serie</t>
  </si>
  <si>
    <t>¿Cuenta con clasificación?</t>
  </si>
  <si>
    <t>Mixto</t>
  </si>
  <si>
    <t>Externo</t>
  </si>
  <si>
    <t>Interno</t>
  </si>
  <si>
    <t>Función</t>
  </si>
  <si>
    <t>Norma</t>
  </si>
  <si>
    <t>Datos abiertos</t>
  </si>
  <si>
    <t>Gestión del Activo</t>
  </si>
  <si>
    <t>Lugar de almacenamiento</t>
  </si>
  <si>
    <t>Periodicidad</t>
  </si>
  <si>
    <t>Tipo de Backup</t>
  </si>
  <si>
    <t>Realiza Backup?</t>
  </si>
  <si>
    <t>Plazo de la Clasificación o Reserva 
(años)</t>
  </si>
  <si>
    <t>Fecha de la Calificación de la Información Clasificada y Reservada
(DD/MM/AAAA)</t>
  </si>
  <si>
    <t>Excepción Total o Parcial</t>
  </si>
  <si>
    <t>Fundamento Jurídico de la Excepción</t>
  </si>
  <si>
    <t>Fundamento Legal o Constitucional</t>
  </si>
  <si>
    <t>Objeto Legítimo de la Excepción</t>
  </si>
  <si>
    <t>Contiene Datos Personales (Ley 1581 de 2012)</t>
  </si>
  <si>
    <t>Datos personales de niños, niñas o adolescentes</t>
  </si>
  <si>
    <t>Nivel de Criticidad de la Información</t>
  </si>
  <si>
    <t>D (CAMPOS PENDIENTES PARA FORMULAR UNA VEZ SE APRUEBE LA ESTRUCTURA DE LA MATRIZ)</t>
  </si>
  <si>
    <t>Nivel de Disponibilidad de la Información</t>
  </si>
  <si>
    <t>I (CAMPOS PENDIENTES PARA FORMULAR UNA VEZ SE APRUEBE LA ESTRUCTURA DE LA MATRIZ)</t>
  </si>
  <si>
    <t>Nivel de Integridad de la Información</t>
  </si>
  <si>
    <t>C (CAMPOS PENDIENTES PARA FORMULAR UNA VEZ SE APRUEBE LA ESTRUCTURA DE LA MATRIZ)</t>
  </si>
  <si>
    <t>Nivel de Confidencialidad de la Información (Ley 1712 de 2014)</t>
  </si>
  <si>
    <t>DISPOSICION FINAL</t>
  </si>
  <si>
    <t>TIEMPO DE RETENCIÓN EN ARCHIVO</t>
  </si>
  <si>
    <t>Clasificación documental</t>
  </si>
  <si>
    <t>Tipo de Origen</t>
  </si>
  <si>
    <t>Fecha de Generación de la información (DD/MM/AAAA)</t>
  </si>
  <si>
    <t>Publicada en (link página web)</t>
  </si>
  <si>
    <t>Estado de la información</t>
  </si>
  <si>
    <t>Presentación de la información (formato)</t>
  </si>
  <si>
    <t>Ubicación del Activo (Digital)</t>
  </si>
  <si>
    <t>Ubicación del Activo (Físico)</t>
  </si>
  <si>
    <t>Medio de conservación o soporte</t>
  </si>
  <si>
    <t>Idioma</t>
  </si>
  <si>
    <t>Propiedad del Hardware</t>
  </si>
  <si>
    <t>Identificación del activo (Marca, Modelo, Serial o Placa)</t>
  </si>
  <si>
    <t>Descripción
del activo de información</t>
  </si>
  <si>
    <t>Tipo de activo</t>
  </si>
  <si>
    <t>Nombre del activo de información</t>
  </si>
  <si>
    <t xml:space="preserve"> Código del activo</t>
  </si>
  <si>
    <t>Custodio del
activo de
información</t>
  </si>
  <si>
    <t>Oficina 
o Grupo Interno de Trabajo</t>
  </si>
  <si>
    <t>Dependencia</t>
  </si>
  <si>
    <t>Norma, Función o Proceso</t>
  </si>
  <si>
    <t>ID</t>
  </si>
  <si>
    <t>Código: F-A-GTI-04</t>
  </si>
  <si>
    <t>Proceso: Gestión de Servicios de Información y Soporte Tecnológico</t>
  </si>
  <si>
    <t>Perdidad de Integridad</t>
  </si>
  <si>
    <t>Perdida de Confidencialidad</t>
  </si>
  <si>
    <t>Perdida de disponibilidad</t>
  </si>
  <si>
    <t>TIPOS DE RIESGOS SEGURIDAD DIGITAL</t>
  </si>
  <si>
    <t>Clasificación inadecuada de la información</t>
  </si>
  <si>
    <t>INFORMACIÓN</t>
  </si>
  <si>
    <t>Ausencia de procedimientos y de políticas en general</t>
  </si>
  <si>
    <t>Ausencia de mecanismos de monitoreo para brechas en la seguridad</t>
  </si>
  <si>
    <t>Ausencia de acuerdos de nivel de servicio (ANS o SLA)</t>
  </si>
  <si>
    <t>Ausencia de control de los activos que se encuentran fuera de las instalaciones</t>
  </si>
  <si>
    <t>Ausencia de proceso para supervisión de derechos de acceso</t>
  </si>
  <si>
    <t>Ausencia de procedimiento de registro/retiro de usuarios</t>
  </si>
  <si>
    <t>ORGANIZACIÓN</t>
  </si>
  <si>
    <t>Ausencia de protección en puertas o ventanas</t>
  </si>
  <si>
    <t>Red eléctrica inestable</t>
  </si>
  <si>
    <t>Ausencia de mecanismos asociados al Sistema de detección de Incendios</t>
  </si>
  <si>
    <t>Áreas susceptibles a inundación</t>
  </si>
  <si>
    <t>Ausencia mecanismos control de acceso a áreas no autorizadas</t>
  </si>
  <si>
    <t>Uso inadecuado de los controles de acceso a las instalaciones</t>
  </si>
  <si>
    <t>LUGAR</t>
  </si>
  <si>
    <t>Trabajo no supervisado de personal externo o de limpieza</t>
  </si>
  <si>
    <t>Ausencia de políticas de uso aceptable</t>
  </si>
  <si>
    <t>Falta de conciencia en seguridad</t>
  </si>
  <si>
    <t>Inadecuada segregación de funciones</t>
  </si>
  <si>
    <t xml:space="preserve">Entrenamiento insuficiente
</t>
  </si>
  <si>
    <t>Ausencia del personal</t>
  </si>
  <si>
    <t>PERSONAL</t>
  </si>
  <si>
    <t>Punto único de falla</t>
  </si>
  <si>
    <t xml:space="preserve">Tráfico sensible sin protección
</t>
  </si>
  <si>
    <t>Conexión deficiente de cableado</t>
  </si>
  <si>
    <t>Inadecuada gestión de red</t>
  </si>
  <si>
    <t xml:space="preserve">Ausencia de política y aplicación de escritorio limpio </t>
  </si>
  <si>
    <t>Redes de comunicación sin protección</t>
  </si>
  <si>
    <t>Ausencia de pruebas de envío o recepción de datos</t>
  </si>
  <si>
    <t>RED</t>
  </si>
  <si>
    <t>Software nuevo o inmaduro</t>
  </si>
  <si>
    <t>Contraseñas sin protección</t>
  </si>
  <si>
    <t>Ausencia de mecanismos de identificación y autenticación de usuarios</t>
  </si>
  <si>
    <t>Inadecuada gestión y protección de contraseñas</t>
  </si>
  <si>
    <t>Falta de política de acceso o política de acceso remoto</t>
  </si>
  <si>
    <t>Fechas incorrectas</t>
  </si>
  <si>
    <t>Ausencia de documentación</t>
  </si>
  <si>
    <t>Especificación incompleta para el desarrollo de software</t>
  </si>
  <si>
    <t>Contraseñas predeterminadas no modificadas</t>
  </si>
  <si>
    <t>Interfaz de usuario compleja</t>
  </si>
  <si>
    <t>Copias de respaldo irregulares</t>
  </si>
  <si>
    <t>Asignación errada de los derechos de acceso</t>
  </si>
  <si>
    <t>Falta de redundancia (copia única)</t>
  </si>
  <si>
    <t>Ausencia de registros de auditoría</t>
  </si>
  <si>
    <t>Ausencia de terminación de sesión</t>
  </si>
  <si>
    <t>Ausencia o insuficiencia de pruebas de software</t>
  </si>
  <si>
    <t>SOFTWARE</t>
  </si>
  <si>
    <t>Copia no controlada</t>
  </si>
  <si>
    <t>Falta de cuidado en la disposición final</t>
  </si>
  <si>
    <t>Almacenamiento sin protección</t>
  </si>
  <si>
    <t>Gestión inadecuada del cambio</t>
  </si>
  <si>
    <t>Susceptibilidad a las variaciones de temperatura (o al polvo y suciedad)</t>
  </si>
  <si>
    <t>Mantenimiento inadecuado</t>
  </si>
  <si>
    <t>Desprotección en equipos móviles</t>
  </si>
  <si>
    <t>Inadecuada seguridad del cableado</t>
  </si>
  <si>
    <t>Inadecuada gestión de capacidad del sistema</t>
  </si>
  <si>
    <t>Sensibilidad del equipo a la humedad, temperatura, contaminantes o condiciones deficientes de operación</t>
  </si>
  <si>
    <t>Sensibilidad del equipo a los cambios de voltaje</t>
  </si>
  <si>
    <t>Eliminación de medios de almacenamiento sin eliminar datos</t>
  </si>
  <si>
    <t>Ausencia de esquemas de reemplazo periódico</t>
  </si>
  <si>
    <t>Mantenimiento Insuficiente</t>
  </si>
  <si>
    <t>HARDWARE</t>
  </si>
  <si>
    <t>VULNERABILIDAD</t>
  </si>
  <si>
    <t>TIPO</t>
  </si>
  <si>
    <t>TABLA DE VULNERABILIDADES</t>
  </si>
  <si>
    <t>Hurtos o vandalismo</t>
  </si>
  <si>
    <t>Huelgas o paros</t>
  </si>
  <si>
    <t>ALTERACIONES DE ORDEN SOCIAL</t>
  </si>
  <si>
    <t>Ausencia de servicios de apoyo</t>
  </si>
  <si>
    <t>Incumplimiento de relaciones contractuales</t>
  </si>
  <si>
    <t>RECURSOS HUMANOS</t>
  </si>
  <si>
    <t>Falsificación de derechos</t>
  </si>
  <si>
    <t>Error en el uso o abuso de derechos</t>
  </si>
  <si>
    <t>COMPROMISO DE LAS FUNCIONES</t>
  </si>
  <si>
    <t>Copia fraudulenta del software</t>
  </si>
  <si>
    <t>Interceptación de servicios de señales de interferencia comprometida</t>
  </si>
  <si>
    <t>Divulgación de Contraseñas</t>
  </si>
  <si>
    <t>Revelación de Información</t>
  </si>
  <si>
    <t>Destrucción de registros</t>
  </si>
  <si>
    <t>Instalación no autorizada de software</t>
  </si>
  <si>
    <t>Acceso físico no autorizado</t>
  </si>
  <si>
    <t>Uso indebido de las herramientas de auditoría</t>
  </si>
  <si>
    <t>Hurto de Información institucional</t>
  </si>
  <si>
    <t>Código malicioso</t>
  </si>
  <si>
    <t>Espionaje remoto</t>
  </si>
  <si>
    <t>Falsificación de registros</t>
  </si>
  <si>
    <t>Comprometer información confidencial</t>
  </si>
  <si>
    <t>Acceso a la red o al sistema de información por personas no autorizadas</t>
  </si>
  <si>
    <t>Uso no autorizado del equipo</t>
  </si>
  <si>
    <t>ACCIONES NO AUTORIZADAS</t>
  </si>
  <si>
    <t>Falta de mantenimiento del equipo</t>
  </si>
  <si>
    <t>Obsolencencia Tecnológica</t>
  </si>
  <si>
    <t>Falta de mantenimiento en el Sistema de Información/aplicación/software</t>
  </si>
  <si>
    <t>Errores en mantenimiento</t>
  </si>
  <si>
    <t>Errores de software</t>
  </si>
  <si>
    <t>Fallo de los enlaces de comunicación</t>
  </si>
  <si>
    <t>Daño causado por un tercero</t>
  </si>
  <si>
    <t>Mal funcionamiento del Software</t>
  </si>
  <si>
    <t>Total dependencia para la prestación del servicio por parte de un tercero</t>
  </si>
  <si>
    <t>Saturación del sistema de información</t>
  </si>
  <si>
    <t>Mal funcionamiento del equipo</t>
  </si>
  <si>
    <t>FALLAS TÉCNICAS</t>
  </si>
  <si>
    <t>Fallas en el sistema eléctrico</t>
  </si>
  <si>
    <t>Fallas en el suministro de Aire acondicionado</t>
  </si>
  <si>
    <t>Fallas en el suministro de agua</t>
  </si>
  <si>
    <t>PERDIDA DE LOS SERVICIOS ESENCIALES</t>
  </si>
  <si>
    <t>Fenómenos Sísmicos</t>
  </si>
  <si>
    <t>Fenómenos Climáticos</t>
  </si>
  <si>
    <t>EVENTOS NATURALES</t>
  </si>
  <si>
    <t xml:space="preserve">Inundación </t>
  </si>
  <si>
    <t>Incendios</t>
  </si>
  <si>
    <t>DAÑO FISICO</t>
  </si>
  <si>
    <t>AMENAZA</t>
  </si>
  <si>
    <t>TABLA DE AMENAZAS</t>
  </si>
  <si>
    <t>Espacio o área asignada para alojar y salvaguardar los datos considerados como activos críticos para la empresa</t>
  </si>
  <si>
    <t xml:space="preserve">Instalaciones </t>
  </si>
  <si>
    <t>Aquellos roles que, por su conocimiento, experiencia y criticidad para el proceso, son considerados activos de información, por ejemplo: personal con experiencia y capacitado para realizar una tarea específica en la ejecución de las actividades</t>
  </si>
  <si>
    <t>Personas</t>
  </si>
  <si>
    <t>Medios necesarios para realizar la conexión de los elementos de hardware y software en una red, por ejemplo, el cableado estructurado y tarjetas de red, routers, switches, entre otros.</t>
  </si>
  <si>
    <t xml:space="preserve">Componentes de Red </t>
  </si>
  <si>
    <t>Se consideran intangibles aquellos activos inmateriales que otorgan a la entidad una ventaja competitiva relevante, uno de ellos es la imagen corporativa,
reputación o el good will, entre otros</t>
  </si>
  <si>
    <t>Intangibles</t>
  </si>
  <si>
    <t>Servicio brindado por parte de la entidad para el apoyo de las actividades de los procesos, tales como: Servicios WEB, intranet, CRM, ERP, Portales organizacionales, Aplicaciones entre otros (Pueden estar compuestos por hardware y software)</t>
  </si>
  <si>
    <t>Servicios</t>
  </si>
  <si>
    <t>Equipos físicos de cómputo y de comunicaciones como, servidores, biométricos que por su criticidad son considerados activos de información</t>
  </si>
  <si>
    <t>Hardware</t>
  </si>
  <si>
    <t>Activo informático lógico como programas, herramientas ofimáticas o sistemas lógicos para la ejecución de las actividades</t>
  </si>
  <si>
    <t>Software</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</si>
  <si>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</si>
  <si>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Información</t>
  </si>
  <si>
    <t>DESCRIPCIÓN</t>
  </si>
  <si>
    <t>TIPO DE ACTIVO</t>
  </si>
  <si>
    <t>TIPO DE RIESGO DIGITAL</t>
  </si>
  <si>
    <t xml:space="preserve">DESCRIPCION DEL RIESGO </t>
  </si>
  <si>
    <t>TIPO DE ACTIVO/ GRUPO DE ACTIVOS</t>
  </si>
  <si>
    <t>DESCRIPCIÓN ACTIVOS DE INFORMACION</t>
  </si>
  <si>
    <t xml:space="preserve"> </t>
  </si>
  <si>
    <t>18.2 Realizar seguimiento periódico al cumplimiento de los estándares de seguridad de la información para las soluciones tecnológicas existentes.</t>
  </si>
  <si>
    <t>X</t>
  </si>
  <si>
    <t>Control: Los sistemas de información se deberían revisar periódicamente para determinar el cumplimiento con las políticas y normas de seguridad de la información.</t>
  </si>
  <si>
    <t>Revisión del cumplimiento técnico</t>
  </si>
  <si>
    <t>A.18.2.3</t>
  </si>
  <si>
    <t>Control: Los directores deberían revisar con regularidad el cumplimiento del procesamiento y procedimientos de información dentro de su área de responsabilidad, con las políticas y normas de seguridad apropiadas, y cualquier otro requisito de seguridad.</t>
  </si>
  <si>
    <t>Cumplimiento con las políticas y normas de seguridad</t>
  </si>
  <si>
    <t>A.18.2.2</t>
  </si>
  <si>
    <t>Control: El enfoque de la organización para la gestión de la seguridad de la información y su implementación (es decir, los objetivos de control, los controles, las políticas, los procesos y los procedimientos para seguridad de la información) se deberían revisar independientemente a intervalos planificados o cuando ocurran cambios significativos.</t>
  </si>
  <si>
    <t>Revisión independiente de la seguridad de la información</t>
  </si>
  <si>
    <t>A.18.2.1</t>
  </si>
  <si>
    <t>Objetivo: Asegurar que la seguridad de la información se implemente y opere de acuerdo con las políticas y procedimientos organizacionales.</t>
  </si>
  <si>
    <t>Revisiones de seguridad de la información</t>
  </si>
  <si>
    <t>A.18.2</t>
  </si>
  <si>
    <t>Control: Se deberían usar controles criptográficos, en cumplimiento de todos los acuerdos, legislación y reglamentación pertinentes.</t>
  </si>
  <si>
    <t>Reglamentación de controles criptográficos</t>
  </si>
  <si>
    <t>A.18.1.5</t>
  </si>
  <si>
    <t>Control: Cuando sea aplicable, se deberían asegurar la privacidad y la protección de la información de datos personales, como se exige en la legislación y la reglamentación pertinentes.</t>
  </si>
  <si>
    <t>Privacidad y protección de datos personales</t>
  </si>
  <si>
    <t>A.18.1.4</t>
  </si>
  <si>
    <t>Control: Los registros se deberían proteger contra perdida, destrucción, falsificación, acceso no autorizado y liberación no autorizada, de acuerdo con los requisitos legislativos, de reglamentación, contractuales y de negocio.</t>
  </si>
  <si>
    <t>Protección de registros</t>
  </si>
  <si>
    <t>A.18.1.3</t>
  </si>
  <si>
    <t>Control: Se deberían implementar procedimientos apropiados para asegurar el cumplimiento de los requisitos legislativos, de reglamentación y contractuales relacionados con los derechos de propiedad intelectual y el uso de productos de software patentados.</t>
  </si>
  <si>
    <t>Derechos de propiedad intelectual</t>
  </si>
  <si>
    <t>A.18.1.2</t>
  </si>
  <si>
    <t>Control: Todos los requisitos estatutarios, reglamentarios y contractuales pertinentes, y el enfoque de la organización para cumplirlos, se deberían identificar y documentar explícitamente y mantenerlos actualizados para cada sistema de información y para la organización.</t>
  </si>
  <si>
    <t>Identificación de la legislación aplicable y de los requisitos contractuales</t>
  </si>
  <si>
    <t>A.18.1.1</t>
  </si>
  <si>
    <t>Objetivo: Evitar el incumplimiento de las obligaciones legales, estatutarias, de reglamentación o contractuales relacionadas con seguridad de la información, y de cualquier requisito de seguridad.</t>
  </si>
  <si>
    <t>Cumplimiento de requisitos legales y contractuales</t>
  </si>
  <si>
    <t>A.18.1</t>
  </si>
  <si>
    <t>A.18</t>
  </si>
  <si>
    <t>Control: Las instalaciones de procesamiento de información se deberían implementar con redundancia suficiente para cumplir los requisitos de disponibilidad.</t>
  </si>
  <si>
    <t>Disponibilidad de instalaciones de procesamiento de información.</t>
  </si>
  <si>
    <t>A.17.2.1</t>
  </si>
  <si>
    <t>Objetivo: Asegurar la disponibilidad de instalaciones de procesamiento de información.</t>
  </si>
  <si>
    <t>Redundancias</t>
  </si>
  <si>
    <t>A.17.2</t>
  </si>
  <si>
    <t>Control: La organización debería verificar a intervalos regulares los controles de continuidad de la seguridad de la información establecidos e implementados, con el fin de asegurar que son validos y eficaces durante situaciones adversas.</t>
  </si>
  <si>
    <t>Verificación, revisión y evaluación de la continuidad de la seguridad de la información</t>
  </si>
  <si>
    <t>A.17.1.3</t>
  </si>
  <si>
    <t>Control: La organización debería establecer, documentar, implementar y mantener procesos, procedimientos y controles para asegurar el nivel de continuidad requerido para la seguridad de la información durante una situación adversa.</t>
  </si>
  <si>
    <t>Implementación de la continuidad de la seguridad de la información</t>
  </si>
  <si>
    <t>A.17.1.2</t>
  </si>
  <si>
    <t>Control: La organización debería determinar sus requisitos para la seguridad de la información y la continuidad de la gestión de la seguridad de la información en situaciones adversas, por ejemplo, durante una crisis o desastre.</t>
  </si>
  <si>
    <t>Planificación de la continuidad de la seguridad de la información</t>
  </si>
  <si>
    <t>A.17.1.1</t>
  </si>
  <si>
    <t>Objetivo: La continuidad de seguridad de la información se debería incluir en los sistemas de gestión de la continuidad de negocio de la organización.</t>
  </si>
  <si>
    <t>Continuidad de seguridad de la información</t>
  </si>
  <si>
    <t>A.17.1</t>
  </si>
  <si>
    <t>Aspectos de seguridad de la información de la gestión de continuidad de negocio</t>
  </si>
  <si>
    <t>A.17</t>
  </si>
  <si>
    <t>Control: La organización debería definir y aplicar procedimientos para la identificación, recolección, adquisición y preservación de información que pueda servir como evidencia.</t>
  </si>
  <si>
    <t>Recolección de evidencia</t>
  </si>
  <si>
    <t>A.16.1.7</t>
  </si>
  <si>
    <t>Control: El conocimiento adquirido al analizar y resolver incidentes de seguridad de la información se debería usar para reducir la posibilidad o el impacto de incidentes futuros.</t>
  </si>
  <si>
    <t>Aprendizaje obtenido de los incidentes de seguridad de la información</t>
  </si>
  <si>
    <t>A.16.1.6</t>
  </si>
  <si>
    <t xml:space="preserve">A 16.1 Realizar el respectivo tratamiento a los incidentes de seguridad conforme el procedimiento y dar respuesta de acuerdo con los tiempos establecidos. </t>
  </si>
  <si>
    <t>Control: Se debería dar respuesta a los incidentes de seguridad de la información de acuerdo con procedimientos documentados.</t>
  </si>
  <si>
    <t>Respuesta a incidentes de seguridad de la información</t>
  </si>
  <si>
    <t>A.16.1.5</t>
  </si>
  <si>
    <t>A 16.1 Analizar los incidentes de seguridad y clasificarlos de acuerdo con su criticidad mediante la herramienta de gestión de servicios de TI</t>
  </si>
  <si>
    <t>Control: Los eventos de seguridad de la información se deberían evaluar y se debería decidir si se van a clasificar como incidentes de seguridad de la información.</t>
  </si>
  <si>
    <t xml:space="preserve">Evaluación de eventos de seguridad de la información y decisiones sobre ellos
</t>
  </si>
  <si>
    <t>A.16.1.4</t>
  </si>
  <si>
    <t xml:space="preserve">A 16.1 Reportar cualquier incidencia que se presente sobre las soluciones tecnológicas implementadas mediante la herramienta de gestión de servicios de TI. </t>
  </si>
  <si>
    <t>Control: Se debería exigir a todos los empleados y contratistas que usan los servicios y sistemas de información de la organización, que observen e informen cualquier debilidad de seguridad de la información observada o sospechada en los sistemas o servicios</t>
  </si>
  <si>
    <t>Reporte de debilidades de seguridad de la información</t>
  </si>
  <si>
    <t>A.16.1.3</t>
  </si>
  <si>
    <t>A 16.1 Realizar el seguimiento y gestión a los incidentes de seguridad reportados por los usuarios de acuerdo con los ANS establecidos</t>
  </si>
  <si>
    <t>Control: Los eventos de seguridad de la información se deberían informar a través de los canales de gestión apropiados, tan pronto como sea posible.</t>
  </si>
  <si>
    <t>Reporte de eventos de seguridad de la información</t>
  </si>
  <si>
    <t>A.16.1.2</t>
  </si>
  <si>
    <t>Control: Se deberían establecer las responsabilidades y procedimientos de gestión para asegurar una respuesta rápida, eficaz y ordenada a los incidentes de seguridad de la información.</t>
  </si>
  <si>
    <t>Responsabilidad y procedimientos</t>
  </si>
  <si>
    <t>A.16.1.1</t>
  </si>
  <si>
    <t>Objetivo: Asegurar un enfoque coherente y eficaz para la gestión de incidentes de seguridad de la información, incluida la comunicación sobre eventos de seguridad y debilidades</t>
  </si>
  <si>
    <t>Gestión de incidentes y mejoras en la seguridad de la información</t>
  </si>
  <si>
    <t>A.16.1</t>
  </si>
  <si>
    <t>Gestión de incidentes de seguridad de la información</t>
  </si>
  <si>
    <t>A.16</t>
  </si>
  <si>
    <t>Control: Se deberían gestionar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y la revaloración de los riesgos.</t>
  </si>
  <si>
    <t>Gestión de cambios en los servicios de proveedores</t>
  </si>
  <si>
    <t>A.15.2.2</t>
  </si>
  <si>
    <t>A 15.2 Supervisar cada uno de los requerimientos establecidos por la entidad frente a los contratos vigentes</t>
  </si>
  <si>
    <t>Las organizaciones deberían hacer seguimiento, revisar y auditar con regularidad la prestación de servicios de los proveedores.</t>
  </si>
  <si>
    <t>Seguimiento y revisión de los servicios de los proveedores</t>
  </si>
  <si>
    <t>A.15.2.1</t>
  </si>
  <si>
    <t>Objetivo: Mantener el nivel acordado de seguridad de la información y de prestación del servicio en línea con los acuerdos con los proveedores.</t>
  </si>
  <si>
    <t>Gestión de la prestación de servicios con los proveedores</t>
  </si>
  <si>
    <t>A.15.2</t>
  </si>
  <si>
    <t>Control: Los acuerdos con proveedores deberían incluir requisitos para tratar los riesgos de seguridad de la información asociados con la cadena de suministro de productos y servicios de tecnología de información y comunicación.</t>
  </si>
  <si>
    <t>Cadena de suministro de tecnología de información y comunicación</t>
  </si>
  <si>
    <t>A.15.1.3</t>
  </si>
  <si>
    <t>Control: Se deberían establecer y acordar todos los requisitos de seguridad de la información pertinentes con cada proveedor que pueda tener acceso, procesar, almacenar, comunicar o suministrar componentes de infraestructura de TI para la información de la organización.</t>
  </si>
  <si>
    <t>Tratamiento de la seguridad dentro de los acuerdos con proveedores</t>
  </si>
  <si>
    <t>A.15.1.2</t>
  </si>
  <si>
    <t>Control: Los requisitos de seguridad de la información para mitigar los riesgos asociados con el acceso de proveedores a los activos de la organización se deberían acordar con estos y se deberían documentar.</t>
  </si>
  <si>
    <t>Política de seguridad de la información para las relaciones con proveedores</t>
  </si>
  <si>
    <t>A.15.1.1</t>
  </si>
  <si>
    <t>Objetivo: Asegurar la protección de los activos de la organización que sean accesibles a los proveedores.</t>
  </si>
  <si>
    <t>Seguridad de la información en las relaciones con los proveedores</t>
  </si>
  <si>
    <t>A.15.1</t>
  </si>
  <si>
    <t>Relación con los proveedores</t>
  </si>
  <si>
    <t>A.15</t>
  </si>
  <si>
    <t>Control: Los datos de ensayo se deberían seleccionar, proteger y controlar cuidadosamente.</t>
  </si>
  <si>
    <t>Protección de datos de prueba</t>
  </si>
  <si>
    <t>A.14.3.1</t>
  </si>
  <si>
    <t>Objetivo: Asegurar la protección de los datos usados para pruebas.</t>
  </si>
  <si>
    <t>Datos de prueba</t>
  </si>
  <si>
    <t>A.14.3</t>
  </si>
  <si>
    <t>A 14.2 Realizar el seguimiento de los requerimientos a los sistemas de información de acuerdo al handover y el procedimiento establecido</t>
  </si>
  <si>
    <t>Control: Para los sistemas de información nuevos, actualizaciones y nuevas versiones, se deberían establecer programas de prueba para aceptación y criterios de aceptación relacionados.</t>
  </si>
  <si>
    <t>Prueba de aceptación de sistemas</t>
  </si>
  <si>
    <t>A.14.2.9</t>
  </si>
  <si>
    <t>A 14.2 Garantizar la correcta funcionalidad de las soluciones a partir de las pruebas necesarias que debe gestionar el área funcional de acuerdo con el procedimiento establecido</t>
  </si>
  <si>
    <t>Control: Durante el desarrollo se deberían llevar a cabo pruebas de funcionalidad de la seguridad.</t>
  </si>
  <si>
    <t>Pruebas de seguridad de sistemas</t>
  </si>
  <si>
    <t>A.14.2.8</t>
  </si>
  <si>
    <t>Control: La organización debería supervisar y hacer seguimiento de la actividad de desarrollo de sistemas contratados externamente.</t>
  </si>
  <si>
    <t>Desarrollo contratado externamente</t>
  </si>
  <si>
    <t>A.14.2.7</t>
  </si>
  <si>
    <t>Control: Las organizaciones deberían establecer y proteger adecuadamente los ambientes de desarrollo seguros para las tareas de desarrollo e integración de sistemas que comprendan todo el ciclo de vida de desarrollo de sistemas.</t>
  </si>
  <si>
    <t>Ambiente de desarrollo seguro</t>
  </si>
  <si>
    <t>A.14.2.6</t>
  </si>
  <si>
    <t>Control: Se deberían establecer, documentar y mantener principios para la construcción de sistemas seguros, y aplicarlos a cualquier actividad de implementación de sistemas de información.</t>
  </si>
  <si>
    <t>Principios de construcción de sistemas seguros</t>
  </si>
  <si>
    <t>A.14.2.5</t>
  </si>
  <si>
    <t>Control: Se deberían desalentar las modificaciones a los paquetes de software, que se deben limitar a los cambios necesarios, y todos los cambios se deberían controlar estrictamente.</t>
  </si>
  <si>
    <t>Restricciones en los cambios a los paquetes de software</t>
  </si>
  <si>
    <t>A.14.2.4</t>
  </si>
  <si>
    <t>Control: Cuando se cambian las plataformas de operación, se deberían revisar las aplicaciones críticas del negocio, y ponerlas a prueba para asegurar que no haya impacto adverso en las operaciones o seguridad de la organización.</t>
  </si>
  <si>
    <t>Revisión técnica de las aplicaciones después de cambios en la plataforma de operación</t>
  </si>
  <si>
    <t>A.14.2.3</t>
  </si>
  <si>
    <t>Control: Los cambios a los sistemas dentro del ciclo de vida de desarrollo se deberían controlar mediante el uso de procedimientos formales de control de cambios.</t>
  </si>
  <si>
    <t>Procedimientos de control de cambios en sistemas</t>
  </si>
  <si>
    <t>A.14.2.2</t>
  </si>
  <si>
    <t>Control: Se deberían establecer y aplicar reglas para el desarrollo de software y de sistemas, a los desarrollos que se dan dentro de la organización.</t>
  </si>
  <si>
    <t>Política de desarrollo seguro</t>
  </si>
  <si>
    <t>A.14.2.1</t>
  </si>
  <si>
    <t>Objetivo: Asegurar de que la seguridad de la información esté diseñada e implementada dentro del ciclo de vida de desarrollo de los sistemas de información.</t>
  </si>
  <si>
    <t>Seguridad en los procesos de desarrollo y soporte</t>
  </si>
  <si>
    <t>A.14.2</t>
  </si>
  <si>
    <t>Control: La información involucrada en las transacciones de los servicios de las aplicaciones se debería proteger para evitar la transmisión incompleta, el enrutamiento errado, la alteración no autorizada de mensajes, la divulgación no autorizada, y la duplicación o reproducción de mensajes no autorizada.</t>
  </si>
  <si>
    <t>Protección de transacciones de los servicios de las aplicaciones</t>
  </si>
  <si>
    <t>A.14.1.3</t>
  </si>
  <si>
    <t>Control: La información involucrada en los servicios de aplicaciones que pasan sobre redes públicas se debería proteger de actividades fraudulentas, disputas contractuales y divulgación y modificación no</t>
  </si>
  <si>
    <t>Seguridad de servicios de las aplicaciones en redes publicas</t>
  </si>
  <si>
    <t>A.14.1.2</t>
  </si>
  <si>
    <t>A.14.1. Garantizar Soporte y mantenimiento vigente de la solución tecnológica</t>
  </si>
  <si>
    <t>Control: Los requisitos relacionados con seguridad de la información se deberían incluir en los requisitos para nuevos sistemas de información o para mejoras a los sistemas de información existentes.</t>
  </si>
  <si>
    <t>Análisis y especificación de requisitos de seguridad de la información</t>
  </si>
  <si>
    <t>A.14.1.1</t>
  </si>
  <si>
    <t>Objetivo: Asegurar que la seguridad de la información sea una parte integral de los sistemas de información durante todo el ciclo de vida. Esto incluye también los requisitos para sistemas de información que prestan servicios en redes públicas.</t>
  </si>
  <si>
    <t>Requisitos de seguridad de los sistemas de información</t>
  </si>
  <si>
    <t>Adquisición, desarrollo y mantenimientos de sistemas</t>
  </si>
  <si>
    <t>A.14</t>
  </si>
  <si>
    <t xml:space="preserve">A 13.2 Requerir la constitución de los acuerdos de confidencialidad para la protección de la información institucional </t>
  </si>
  <si>
    <t>Control: Se deberían identificar, revisar regularmente y documentar los requisitos para los acuerdos de confidencialidad o no divulgación que reflejen las necesidades de la organización para la protección de la información.</t>
  </si>
  <si>
    <t>Acuerdos de confidencialidad o de no divulgación</t>
  </si>
  <si>
    <t>A.13.2.4</t>
  </si>
  <si>
    <t>A 13.2  Garantizar las copias de respaldo de la información institucional contenidas en el correo electrónico de los usuarios.</t>
  </si>
  <si>
    <t>Control: Se debería proteger adecuadamente la información incluida en la mensajería electrónica.</t>
  </si>
  <si>
    <t>Mensajería electrónica</t>
  </si>
  <si>
    <t>A.13.2.3</t>
  </si>
  <si>
    <t>A 13.2 Requerir dentro de los acuerdos obligaciones relacionadas con la transferencia de la información</t>
  </si>
  <si>
    <t>Control: Los acuerdos deberían tener en cuenta la transferencia segura de información del negocio entre la organización y las partes externas.</t>
  </si>
  <si>
    <t>Acuerdos sobre transferencia de información</t>
  </si>
  <si>
    <t>A.13.2.2</t>
  </si>
  <si>
    <t>Control: Se debería contar con políticas, procedimientos y controles de transferencia formales para proteger la transferencia de información mediante el uso de todo tipo de instalaciones de comunicación.</t>
  </si>
  <si>
    <t>Políticas y procedimientos de transferencia de información</t>
  </si>
  <si>
    <t>A.13.2.1</t>
  </si>
  <si>
    <t>A.13.2 Centralizar la información institucional en los servidores dispuestos por la Oficina TIC (Esta información deberá clasificarse de acuerdo con las tablas de retención documental)</t>
  </si>
  <si>
    <t>Objetivo: Mantener la seguridad de la información transferida dentro de una organización y con cualquier entidad externa.</t>
  </si>
  <si>
    <t>Transferencia de información</t>
  </si>
  <si>
    <t>A.13.2</t>
  </si>
  <si>
    <t>A 13.1 Segmentación de las redes de comunicación</t>
  </si>
  <si>
    <t>Control: Los grupos de servicios de información, usuarios y sistemas de información se deberían separar en las redes.</t>
  </si>
  <si>
    <t>Separación en las redes</t>
  </si>
  <si>
    <t>A.13.1.3</t>
  </si>
  <si>
    <t>A 13.1 Aplicación de las políticas de red</t>
  </si>
  <si>
    <t>Control: Se deberían identificar los mecanismos de seguridad, los niveles de servicio y los requisitos de gestión de todos los servicios de red, e incluirlos en los acuerdos de servicios de red, ya sea que los servicios se presten internamente o se contraten externamente.</t>
  </si>
  <si>
    <t>Seguridad de los servicios de red</t>
  </si>
  <si>
    <t>A.13.1.2</t>
  </si>
  <si>
    <t xml:space="preserve">A 13.1 Gestión y control de los componentes de red de acuerdo con los mecanismos definidos </t>
  </si>
  <si>
    <t>Control: Las redes se deberían gestionar y controlar para proteger la información en sistemas y aplicaciones.</t>
  </si>
  <si>
    <t>Controles de redes</t>
  </si>
  <si>
    <t>A.13.1.1</t>
  </si>
  <si>
    <t>Objetivo: Asegurar la protección de la información en las redes, y sus instalaciones de procesamiento de información de soporte.</t>
  </si>
  <si>
    <t>Gestión de la seguridad de las redes</t>
  </si>
  <si>
    <t>A.13.1</t>
  </si>
  <si>
    <t>Seguridad de las comunicaciones</t>
  </si>
  <si>
    <t>A.13</t>
  </si>
  <si>
    <t>Control: Los requisitos y actividades de auditoría que involucran la verificación de los sistemas operativos se deberían planificar y acordar cuidadosamente para minimizar las interrupciones en los procesos del negocio.</t>
  </si>
  <si>
    <t>Información controles de auditoría de sistemas</t>
  </si>
  <si>
    <t>A.12.7.1</t>
  </si>
  <si>
    <t>Objetivo: Minimizar el impacto de las actividades de auditoría sobre los sistemas operacionales.</t>
  </si>
  <si>
    <t>Consideraciones sobre auditorias de sistemas de información</t>
  </si>
  <si>
    <t>A.12.7</t>
  </si>
  <si>
    <t>A 12.6 Restringir la instalación del software no autorizado con la aplicación de las políticas en el DA</t>
  </si>
  <si>
    <t>Control: Se deberían establecer e implementar las reglas para la instalación de software por parte de los usuarios.</t>
  </si>
  <si>
    <t>Restricciones sobre la instalación de software</t>
  </si>
  <si>
    <t>A.12.6.2</t>
  </si>
  <si>
    <t>A 12.6 Realizar las pruebas de vulnerabilidades a los sistemas de información/aplicaciones identificando los riesgos y debilidades con el propósito que sean resueltas.</t>
  </si>
  <si>
    <t>Control: Se debería obtener oportunamente información acerca de las vulnerabilidades técnicas de los sistemas de información que se usen; evaluar la exposición de la organización a estas vulnerabilidades, y tomar las medidas apropiadas para tratar el riesgo asociado.</t>
  </si>
  <si>
    <t>Gestión de las vulnerabilidades técnicas</t>
  </si>
  <si>
    <t>A.12.6.1</t>
  </si>
  <si>
    <t>Objetivo: Prevenir el aprovechamiento de las vulnerabilidades técnicas.</t>
  </si>
  <si>
    <t>Gestión de la vulnerabilidad técnica</t>
  </si>
  <si>
    <t>A.12.6</t>
  </si>
  <si>
    <t>A 12.5 Restringir la instalación del software no autorizado sobre los sistemas operativos</t>
  </si>
  <si>
    <t>Control: Se deberían implementar procedimientos para controlar la instalación de software en sistemas operativos.</t>
  </si>
  <si>
    <t>Instalación de software en sistemas operativos</t>
  </si>
  <si>
    <t>A.12.5.1</t>
  </si>
  <si>
    <t>Objetivo: Asegurar la integridad de los sistemas operacionales.</t>
  </si>
  <si>
    <t>Control de software operacional</t>
  </si>
  <si>
    <t>A.12.5</t>
  </si>
  <si>
    <t>A 12.4 Ejecutar la sincronización de la infraestructura tecnológica con las políticas establecidas</t>
  </si>
  <si>
    <t>Control: Los relojes de todos los sistemas de procesamiento de información pertinentes dentro de una organización o ámbito de seguridad se deberían sincronizar con una única fuente de referencia de tiempo.</t>
  </si>
  <si>
    <t>sincronización de relojes</t>
  </si>
  <si>
    <t>A.12.4.4</t>
  </si>
  <si>
    <t>A 12.4 Monitorear los eventos que se puedan presentar a través del software de gestión de la solución</t>
  </si>
  <si>
    <t>x</t>
  </si>
  <si>
    <t>Control: Las actividades del administrador y del operador del sistema se deberían registrar, y los registros se deberían proteger y revisar con regularidad.</t>
  </si>
  <si>
    <t>Registros del administrador y del operador</t>
  </si>
  <si>
    <t>A.12.4.3</t>
  </si>
  <si>
    <t>A 12.4  Restringir los accesos de administración para evitar cambios en los registros.</t>
  </si>
  <si>
    <t>Control: Las instalaciones y la información de registro se deberían proteger contra alteración y acceso no autorizado.</t>
  </si>
  <si>
    <t>Protección de la información de registro</t>
  </si>
  <si>
    <t>A.12.4.2</t>
  </si>
  <si>
    <t>A 12.4 Monitorear los eventos de seguridad significativos que se generen dentro de la plataforma SIEM</t>
  </si>
  <si>
    <t>Control: Se deberían elaborar, conservar y revisar regularmente los registros acerca de actividades del usuario, excepciones, fallas y eventos de seguridad de la información.</t>
  </si>
  <si>
    <t>Registro de eventos</t>
  </si>
  <si>
    <t>A.12.4.1</t>
  </si>
  <si>
    <t xml:space="preserve">A 12.4  Monitorear los logs de auditoría generados desde las aplicaciones </t>
  </si>
  <si>
    <t>Objetivo: Registrar eventos y generar evidencia.</t>
  </si>
  <si>
    <t>Registro y seguimiento</t>
  </si>
  <si>
    <t>A.12.4</t>
  </si>
  <si>
    <t>A 12.3 Realizar la restauración de las copias de respaldo de acuerdo con lo establecido en las políticas de backup</t>
  </si>
  <si>
    <t>Control: Se deberían hacer copias de respaldo de la información, del software e imágenes de los sistemas, y ponerlas a prueba regularmente de acuerdo con una política de copias de respaldo aceptada.</t>
  </si>
  <si>
    <t>Respaldo de información</t>
  </si>
  <si>
    <t>A.12.3.1</t>
  </si>
  <si>
    <t>A 12.3 Garantizar las copias de respaldo de acuerdo con las políticas de backup definidas por la entidad</t>
  </si>
  <si>
    <t>Objetivo: Proteger contra la perdida de datos.</t>
  </si>
  <si>
    <t>Copias de respaldo</t>
  </si>
  <si>
    <t>A.12.3</t>
  </si>
  <si>
    <t>A 12.2 Mantener actualizado el sistema de seguridad perimetral así como garantizar su debido soporte</t>
  </si>
  <si>
    <t>Control: Se deberían implementar controles de detección, de prevención y de recuperación, combinados con la toma de conciencia apropiada de los usuarios, para proteger contra códigos maliciosos.</t>
  </si>
  <si>
    <t>Controles contra códigos maliciosos</t>
  </si>
  <si>
    <t>A.12.2.1</t>
  </si>
  <si>
    <t>A 12.2 Soportar y mantener la plataforma de antivirus actualizada</t>
  </si>
  <si>
    <t>Objetivo: Asegurarse de que la información y las instalaciones de procesamiento de información estén protegidas contra códigos maliciosos.</t>
  </si>
  <si>
    <t>Protección contra códigos maliciosos</t>
  </si>
  <si>
    <t>A.12.2</t>
  </si>
  <si>
    <t>A 12.1 Separación de los ambientes de desarrollo con los ambientes de producción.</t>
  </si>
  <si>
    <t>Control: Se deberían separar los ambientes de desarrollo, prueba y operación, para reducir los riesgos de acceso o cambios no autorizados al ambiente de operación.</t>
  </si>
  <si>
    <t>Separación de los ambientes de desarrollo, pruebas y operación</t>
  </si>
  <si>
    <t>A.12.1.4</t>
  </si>
  <si>
    <t>A 12.1 Analizar, validar y comunicar el estado de capacidad de la infraestructura tecnológica siguiendo los lineamientos establecidos en el procedimiento.</t>
  </si>
  <si>
    <t>Control: Para asegurar el desempeño requerido del sistema se debería hacer seguimiento al uso de los recursos, hacer los ajustes, y hacer proyecciones de los requisitos sobre la capacidad futura.</t>
  </si>
  <si>
    <t>Gestión de capacidad</t>
  </si>
  <si>
    <t>A.12.1.3</t>
  </si>
  <si>
    <t>A 12.1  Los cambios requeridos deberán ser concertados y aprobados con el grupo de gestión de cambios de acuerdo con el procedimiento.</t>
  </si>
  <si>
    <t>Control: Se deberían controlar los cambios en la organización, en los procesos de negocio, en las instalaciones y en los sistemas de procesamiento de información que afectan la seguridad de la información.</t>
  </si>
  <si>
    <t>Gestión de cambios</t>
  </si>
  <si>
    <t>A.12.1.2</t>
  </si>
  <si>
    <t>A 12.1 Aplicación del procedimiento de gestión de cambios para cualquier modificación que requiera la infraestructura tecnológica</t>
  </si>
  <si>
    <t>Control: Los procedimientos de operación se deberían documentar y poner a disposición de todos los usuarios que los necesiten.</t>
  </si>
  <si>
    <t>Procedimientos de operación documentados</t>
  </si>
  <si>
    <t>A.12.1.1</t>
  </si>
  <si>
    <t>A 12. Repositorio de respaldo de información</t>
  </si>
  <si>
    <t>Objetivo: Asegurar las operaciones correctas y seguras de las instalaciones de procesamiento de información.</t>
  </si>
  <si>
    <t>Procedimientos operacionales y responsabilidades</t>
  </si>
  <si>
    <t>A.12.1</t>
  </si>
  <si>
    <t>A 11.2. Implementación de soluciones en alta disponibilidad</t>
  </si>
  <si>
    <t>Seguridad de las operaciones</t>
  </si>
  <si>
    <t>A.12</t>
  </si>
  <si>
    <t xml:space="preserve">A 11.2 Aplicación de políticas de escritorio limpio. </t>
  </si>
  <si>
    <t>Control: Se debería adoptar una política de escritorio limpio para los papeles y medios de almacenamiento removibles, y una política de pantalla limpia en las instalaciones de procesamiento de información.</t>
  </si>
  <si>
    <t>Política de escritorio limpio y pantalla limpia</t>
  </si>
  <si>
    <t>A.11.2.9</t>
  </si>
  <si>
    <t>A 11.2 Aplicación de las políticas de bloqueo automático al dispositivo de acuerdo al tiempo de inactividad.</t>
  </si>
  <si>
    <t>Control: Los usuarios deberían asegurarse de que a los equipos desatendidos se les dé protección apropiada.</t>
  </si>
  <si>
    <t>Equipos de usuario desatendidos</t>
  </si>
  <si>
    <t>A.11.2.8</t>
  </si>
  <si>
    <t>A 11.2 Aplicación de métodos de borrado seguro</t>
  </si>
  <si>
    <t>Control: Se deberían verificar todos los elementos de equipos que contengan medios de almacenamiento, para asegurar que cualquier dato sensible o software con licencia haya sido retirado o sobrescrito en forma segura antes de su disposición o reutilización.</t>
  </si>
  <si>
    <t>Disposición segura o reutilización de equipos</t>
  </si>
  <si>
    <t>A.11.2.7</t>
  </si>
  <si>
    <t>A 11.2 Aplicación del software de encriptación para la protección de la información salvaguardada en medios portátiles de uso institucional.</t>
  </si>
  <si>
    <t>Control: Se deberían aplicar medidas de seguridad a los activos que se encuentran fuera de las instalaciones de la organización, teniendo en cuenta los diferentes riesgos de trabajar fuera de dichas instalaciones.</t>
  </si>
  <si>
    <t>Seguridad de equipos y activos fuera de las instalaciones</t>
  </si>
  <si>
    <t>A.11.2.6</t>
  </si>
  <si>
    <t>A 11.2.Seguir los procedimientos de salida de equipos con la respectiva autorización</t>
  </si>
  <si>
    <t>Control: Los equipos, información o software no se deberían retirar de su sitio sin autorización previa.</t>
  </si>
  <si>
    <t>Retiro de activos</t>
  </si>
  <si>
    <t>A.11.2.5</t>
  </si>
  <si>
    <t>A.11.2 Servicios de soporte y mantenimiento vigentes de acuerdo con las recomendaciones del fabricante.</t>
  </si>
  <si>
    <t>Control: Los equipos se deberían mantener correctamente para asegurar su disponibilidad e integridad continuas.</t>
  </si>
  <si>
    <t>Mantenimiento de equipos</t>
  </si>
  <si>
    <t>A.11.2.4</t>
  </si>
  <si>
    <t>A 11.2 Separar los cables de energía de los de comunicaciones para evitar interferencias.</t>
  </si>
  <si>
    <t>Control: El cableado de potencia y de telecomunicaciones que porta datos o soporta servicios de información debería estar protegido contra interceptación, interferencia o daño.</t>
  </si>
  <si>
    <t>Seguridad del cableado</t>
  </si>
  <si>
    <t>A.11.2.3</t>
  </si>
  <si>
    <t xml:space="preserve">A 11.2 Actualización y mantenimiento de los sistemas de respaldo de energía </t>
  </si>
  <si>
    <t>Control: Los equipos se deberían proteger contra fallas de energía y otras interrupciones causadas por fallas en los servicios de suministro.</t>
  </si>
  <si>
    <t>Servicios de suministro</t>
  </si>
  <si>
    <t>A.11.2.2</t>
  </si>
  <si>
    <t>A 11.2 Acceso restringido en el centro de datos. Ingreso a personal debidamente autorizado</t>
  </si>
  <si>
    <t>Control: Los equipos deberían estar ubicados y protegidos para reducir los riesgos de amenazas y peligros del entorno, y las oportunidades para acceso no autorizado.</t>
  </si>
  <si>
    <t>Ubicación y protección de los equipos</t>
  </si>
  <si>
    <t>A.11.2.1</t>
  </si>
  <si>
    <t>Objetivo: Prevenir la perdida, daño, robo o compromiso de activos, y la interrupción de las operaciones de la organización.</t>
  </si>
  <si>
    <t>Equipos</t>
  </si>
  <si>
    <t>A.11.2</t>
  </si>
  <si>
    <t>Control: Se deberían controlar los puntos de acceso tales como áreas de despacho y de carga, y otros puntos en donde pueden entrar personas no autorizadas, y si es posible, aislarlos de las instalaciones de procesamiento de información para evitar el acceso no autorizado.</t>
  </si>
  <si>
    <t>Áreas de despacho y carga</t>
  </si>
  <si>
    <t>A.11.1.6</t>
  </si>
  <si>
    <t xml:space="preserve">A 11. Incluir los requerimientos necesarios dentro de los acuerdos internos y externos para el  trabajo en áreas seguras </t>
  </si>
  <si>
    <t>Control: Se deberían diseñar y aplicar procedimientos para trabajo en áreas seguras.</t>
  </si>
  <si>
    <t>Trabajo en áreas seguras</t>
  </si>
  <si>
    <t>A.11.1.5</t>
  </si>
  <si>
    <t xml:space="preserve">A 11. Mantenimiento y soporte de los equipos de respaldo </t>
  </si>
  <si>
    <t>Control: Se debería diseñar y aplicar protección física contra desastres naturales, ataques maliciosos o accidentes.</t>
  </si>
  <si>
    <t>Protección contra amenazas externas y ambientales</t>
  </si>
  <si>
    <t>A.11.1.4</t>
  </si>
  <si>
    <t>A.11 Medidas de control de presencia (Sistemas de videovigilancia)</t>
  </si>
  <si>
    <t>Control: Se debería diseñar y aplicar seguridad física a oficinas, recintos e instalaciones.</t>
  </si>
  <si>
    <t>Seguridad de oficinas, recintos e instalaciones</t>
  </si>
  <si>
    <t>A.11.1.3</t>
  </si>
  <si>
    <t>A.11 Evitar accesos no necesarios. En caso de ser estrictamente necesario el ingreso a las áreas sensible como datacenter se debe llevar el respectivo registro</t>
  </si>
  <si>
    <t>Control: Las áreas seguras se deberían proteger mediante controles de entrada apropiados para asegurar que solamente se permite el acceso a personal autorizado.</t>
  </si>
  <si>
    <t>Controles físicos de entrada</t>
  </si>
  <si>
    <t>A.11.1.2</t>
  </si>
  <si>
    <t>A.11 Restricción de ingreso físico al personal no autorizado</t>
  </si>
  <si>
    <t>Control: Se deberían definir y usar perímetros de seguridad, y usarlos para proteger áreas que contengan información sensible o critica, e instalaciones de manejo de información.</t>
  </si>
  <si>
    <t>Perímetro de seguridad física</t>
  </si>
  <si>
    <t>A.11.1.1</t>
  </si>
  <si>
    <t>Objetivo: Prevenir el acceso físico no autorizado, el daño y la interferencia a la información y a las instalaciones de procesamiento de información de la organización.</t>
  </si>
  <si>
    <t>Áreas seguras</t>
  </si>
  <si>
    <t>A.11.1</t>
  </si>
  <si>
    <t>Seguridad física y del entorno</t>
  </si>
  <si>
    <t>A.11</t>
  </si>
  <si>
    <t>Control: Se debería desarrollar e implementar una política sobre el uso, protección y tiempo de vida de las llaves criptográficas durante todo su ciclo de vida.</t>
  </si>
  <si>
    <t>Gestión de llaves</t>
  </si>
  <si>
    <t>A.10.1.2</t>
  </si>
  <si>
    <t>Control: Se debería desarrollar e implementar una política sobre el uso de controles criptográficos para la protección de la información.</t>
  </si>
  <si>
    <t>Política sobre el uso de controles criptográficos</t>
  </si>
  <si>
    <t>A.10.1.1</t>
  </si>
  <si>
    <t>Controles criptográficos</t>
  </si>
  <si>
    <t>A.10.1</t>
  </si>
  <si>
    <t>Objetivo: Asegurar el uso apropiado y eficaz de la criptografía para proteger la confidencialidad, la autenticidad y/o la integridad de la información.</t>
  </si>
  <si>
    <t>Criptografía</t>
  </si>
  <si>
    <t>A.10</t>
  </si>
  <si>
    <t>A 9.4 Centralizar los códigos fuentes de las aplicaciones en el repositorio dispuesto por la entidad.</t>
  </si>
  <si>
    <t>Control: Se debería restringir el acceso a los códigos fuente de los programas.</t>
  </si>
  <si>
    <t>Control de acceso a códigos fuente de programas</t>
  </si>
  <si>
    <t>A.9.4.5</t>
  </si>
  <si>
    <t>Control: Se debería restringir y controlar estrictamente el uso de programas utilitarios que pudieran tener capacidad de anular el sistema y los controles de las aplicaciones.</t>
  </si>
  <si>
    <t>Uso de programas utilitarios privilegiados</t>
  </si>
  <si>
    <t>A.9.4.4</t>
  </si>
  <si>
    <t>A 9.4 Asignación y configuración de contraseñas de acceso seguras.</t>
  </si>
  <si>
    <t>Control: Los sistemas de gestión de contraseñas deberían ser interactivos y deberían asegurar la calidad de las contraseñas.</t>
  </si>
  <si>
    <t>Sistema de gestión de contraseñas</t>
  </si>
  <si>
    <t>A.9.4.3</t>
  </si>
  <si>
    <t>A 9.4 Identificar y auditar los accesos realizados mediante logs de auditoria</t>
  </si>
  <si>
    <t>Control: Cuando lo requiere la política de control de acceso, el acceso a sistemas y aplicaciones se debería controlar mediante un proceso de ingreso seguro.</t>
  </si>
  <si>
    <t>Procedimiento de ingreso seguro</t>
  </si>
  <si>
    <t>A.9.4.2</t>
  </si>
  <si>
    <t>A 9.4 Asignación de permisos de acuerdo con las necesidades. Esta asignación deberá realizarse de acuerdo con la aprobación del jefe inmediato con su debida justificación.</t>
  </si>
  <si>
    <t xml:space="preserve">Control: El acceso a la información y a las funciones de los sistemas de las aplicaciones se debería restringir de acuerdo con la política de control de acceso.
</t>
  </si>
  <si>
    <t>Restricción de acceso Información</t>
  </si>
  <si>
    <t>A.9.4.1</t>
  </si>
  <si>
    <t>A 9.4 Establecer privilegios de acceso a los usuarios</t>
  </si>
  <si>
    <t>Objetivo: Evitar el acceso no autorizado a sistemas y aplicaciones.</t>
  </si>
  <si>
    <t>Control de acceso a sistemas y aplicaciones</t>
  </si>
  <si>
    <t>A.9.4</t>
  </si>
  <si>
    <t>Control: Se debería exigir a los usuarios que cumplan las prácticas de la organización para el uso de información de autenticación secreta.</t>
  </si>
  <si>
    <t>Uso de la información de autenticación secreta</t>
  </si>
  <si>
    <t>A.9.3.1</t>
  </si>
  <si>
    <t>A 9.3 Asignación de permisos de usuarios por perfiles</t>
  </si>
  <si>
    <t>Objetivo: Hacer que los usuarios rindan cuentas por la salvaguarda de su información de autenticación.</t>
  </si>
  <si>
    <t>Responsabilidades de los usuarios</t>
  </si>
  <si>
    <t>A.9.3</t>
  </si>
  <si>
    <t>A 9.2 Control de retiros de acceso mediante la herramienta de gestión de servicios de TI.</t>
  </si>
  <si>
    <t>Control: Los derechos de acceso de todos los empleados y de usuarios externos a la información y a las instalaciones de procesamiento de información se deberían retirar al terminar su empleo, contrato o acuerdo, o se deberían ajustar cuando se hagan cambios.</t>
  </si>
  <si>
    <t>Retiro o ajuste de los derechos de acceso</t>
  </si>
  <si>
    <t>A.9.2.6</t>
  </si>
  <si>
    <t>Control: La asignación de la información secreta se debería controlar por medio de un proceso de gestión formal.</t>
  </si>
  <si>
    <t>Gestión de información de autenticación secreta de usuarios</t>
  </si>
  <si>
    <t>A.9.2.4</t>
  </si>
  <si>
    <t>Control: Se debería restringir y controlar la asignación y uso de derechos de acceso privilegiado.</t>
  </si>
  <si>
    <t>Gestión de derechos de acceso privilegiado</t>
  </si>
  <si>
    <t>A.9.2.3</t>
  </si>
  <si>
    <t>A 9.2 Control de registro y cancelación de usuarios mediante el directorio activo y la herramienta de gestión de servicios de TI.</t>
  </si>
  <si>
    <t>Control: Se debería implementar un proceso de suministro de acceso formal de usuarios para asignar o revocar los derechos de acceso a todo tipo de usuarios para todos los sistemas y servicios.</t>
  </si>
  <si>
    <t>Suministro de acceso de usuarios</t>
  </si>
  <si>
    <t>A.9.2.2</t>
  </si>
  <si>
    <t>Control: Se debería implementar un proceso formal de registro y de cancelación de registro de usuarios, para posibilitar la asignación de los derechos de acceso.</t>
  </si>
  <si>
    <t>Registro y cancelación del registro de usuarios</t>
  </si>
  <si>
    <t>A.9.2.1</t>
  </si>
  <si>
    <t>Objetivo: Asegurar el acceso de los usuarios autorizados y evitar el acceso no autorizado a sistemas y servicios.</t>
  </si>
  <si>
    <t>Gestión de acceso de usuarios</t>
  </si>
  <si>
    <t>A.9.2</t>
  </si>
  <si>
    <t>A 9.1 Control y seguimiento de las políticas de red a través de la herramienta de gestión de servicios de TI.</t>
  </si>
  <si>
    <t>Control: Solo se debería permitir acceso de los usuarios a la red y a los servicios de red para los que hayan sido autorizados específicamente.</t>
  </si>
  <si>
    <t>Política sobre el uso de los servicios de red</t>
  </si>
  <si>
    <t>A.9.1.2</t>
  </si>
  <si>
    <t xml:space="preserve">A 9.1 Aplicación y seguimiento de las políticas de red para los usuarios internos y externos de la entidad. </t>
  </si>
  <si>
    <t>Control: Se debería establecer, documentar y revisar una política de control de acceso con base en los requisitos del negocio y de seguridad de la información.</t>
  </si>
  <si>
    <t>Política de control de acceso</t>
  </si>
  <si>
    <t>A.9.1.1</t>
  </si>
  <si>
    <t>Objetivo: Limitar el acceso a información y a instalaciones de procesamiento de información.</t>
  </si>
  <si>
    <t>Requisitos del negocio para control de acceso</t>
  </si>
  <si>
    <t>A.9.1</t>
  </si>
  <si>
    <t>Control de acceso</t>
  </si>
  <si>
    <t>A.9</t>
  </si>
  <si>
    <t>A 8.3 El uso de medios removibles de almacenamiento solamente es autorizado a los funcionarios, contratistas y demás terceros con el aval del Jefe inmediato,.</t>
  </si>
  <si>
    <t>Control: Los medios que contienen información se deberían proteger contra acceso no autorizado, uso indebido o corrupción durante el transporte.</t>
  </si>
  <si>
    <t>Transferencia de medios físicos</t>
  </si>
  <si>
    <t>A.8.3.3</t>
  </si>
  <si>
    <t>Control: Se debería disponer en forma segura de los medios cuando ya no se requieran, utilizando procedimientos formales.</t>
  </si>
  <si>
    <t>Disposición de los medios</t>
  </si>
  <si>
    <t>A.8.3.2</t>
  </si>
  <si>
    <t xml:space="preserve">A 8.3 Establecer los lineamientos para la correcta gestión y uso de los medios removibles </t>
  </si>
  <si>
    <t>Control: Se deberían implementar procedimientos para la gestión de medios removibles, de acuerdo con el esquema de clasificación adoptado por la organización.</t>
  </si>
  <si>
    <t>Gestión de medios removibles</t>
  </si>
  <si>
    <t>A.8.3.1</t>
  </si>
  <si>
    <t>A.8.2 Contar con el apoyo permanente de la Oficina de Gestión Documental del Ministerio para clasificar la información acorde con las tablas de gestión documental.</t>
  </si>
  <si>
    <t>Control: Se deberían desarrollar e implementar procedimientos para el manejo de activos, de acuerdo con el esquema de clasificación de información adoptado por la organización.</t>
  </si>
  <si>
    <t>Manejo de activos</t>
  </si>
  <si>
    <t>A.8.2.3</t>
  </si>
  <si>
    <t>Control: Se debería desarrollar e implementar un conjunto adecuado de procedimientos para el etiquetado de la información, de acuerdo con el esquema de clasificación de información adoptado por la organización.</t>
  </si>
  <si>
    <t>Etiquetado de la información</t>
  </si>
  <si>
    <t>A.8.2.2</t>
  </si>
  <si>
    <t xml:space="preserve">A.8.2 Contar con el apoyo permanente de la Oficina Asesora Jurídica del Ministerio para la clasificación de los activos en función de los requisitos legales. </t>
  </si>
  <si>
    <t>Control: La información se debería clasificar en función de los requisitos legales, valor, criticidad y susceptibilidad a divulgación o a modificación no autorizada.</t>
  </si>
  <si>
    <t>Clasificación de la información</t>
  </si>
  <si>
    <t>A.8.2.1</t>
  </si>
  <si>
    <t>A.8.2 Realizar la actualización de los activos de información con los dueños del proceso a fin de garantizar su clasificación y posterior análisis de protección.</t>
  </si>
  <si>
    <t>Objetivo: Asegurar que la información recibe un nivel apropiado de protección, de acuerdo con su importancia para la organización.</t>
  </si>
  <si>
    <t>A.8.2</t>
  </si>
  <si>
    <t>A.8.1 Mantener el control de los activos de información (Asignación y devolución de los mismos) mediante el inventario actualizado.</t>
  </si>
  <si>
    <t>Control: Todos los empleados y usuarios de partes externas deberían devolver todos los activos de la organización que se encuentren a su cargo, al terminar su empleo, contrato o acuerdo.</t>
  </si>
  <si>
    <t>Devolución de activos</t>
  </si>
  <si>
    <t>A.8.1.4</t>
  </si>
  <si>
    <t>Control: Se deberían identificar, documentar e implementar reglas para el uso aceptable de información y de activos asociados con información e instalaciones de procesamiento de información.</t>
  </si>
  <si>
    <t>Uso aceptable de los activos</t>
  </si>
  <si>
    <t>A.8.1.3</t>
  </si>
  <si>
    <t>Control: Los activos mantenidos en el inventario deberían tener un propietario.</t>
  </si>
  <si>
    <t>Propiedad de los activos</t>
  </si>
  <si>
    <t>A.8.1.2</t>
  </si>
  <si>
    <t>A.8.1. Realizar la actualización periódica de los activos de información con los respectivos responsables.</t>
  </si>
  <si>
    <t>Control: Se deberían identificar los activos asociados con la información y las instalaciones de procesamiento de información, y se debería elaborar y mantener un inventario de estos activos.</t>
  </si>
  <si>
    <t>Inventario de activos</t>
  </si>
  <si>
    <t>A.8.1.1</t>
  </si>
  <si>
    <t>Objetivo: Identificar los activos organizacionales y definir las responsabilidades de protección apropiadas.</t>
  </si>
  <si>
    <t>Responsabilidad por los activos</t>
  </si>
  <si>
    <t>A.8.1</t>
  </si>
  <si>
    <t>Gestión de activos</t>
  </si>
  <si>
    <t>A.8</t>
  </si>
  <si>
    <t xml:space="preserve">A.7.3.1 Garantizar la entrega de la información vital mediante los acuerdos previamente formalizados con los responsables y el aseguramiento de la misma corresponderá al líder o supervisor. </t>
  </si>
  <si>
    <t>Control: Las responsabilidades y los deberes de seguridad de la información que permanecen validos después de la terminación o cambio de contrato se deberían definir, comunicar al empleado o contratista y se deberían hacer cumplir.</t>
  </si>
  <si>
    <t>Terminación o cambio de responsabilidades de empleo</t>
  </si>
  <si>
    <t>A.7.3.1</t>
  </si>
  <si>
    <t>Objetivo: Proteger los intereses de la organización como parte del proceso de cambio o terminación del contrato.</t>
  </si>
  <si>
    <t>Terminación o cambio de empleo</t>
  </si>
  <si>
    <t>A.7.3</t>
  </si>
  <si>
    <t>Control: Se debería contar con un proceso disciplinario formal el cual debería ser comunicado, para emprender acciones contra empleados que hayan cometido una violación a la seguridad de la información.</t>
  </si>
  <si>
    <t>Proceso disciplinario</t>
  </si>
  <si>
    <t>A.7.2.3</t>
  </si>
  <si>
    <t>A.7.2.2 Ejecutar periódicamente campañas de sensibilización asociadas al SGSI</t>
  </si>
  <si>
    <t>Control: Todos los empleados de la organización, y en donde sea pertinente, los contratistas, deberían recibir la educación y la formación en toma de conciencia apropiada, y actualizaciones regulares sobre las políticas y procedimientos pertinentes para su cargo.</t>
  </si>
  <si>
    <t>Toma de conciencia, educación y formación en la seguridad de la información</t>
  </si>
  <si>
    <t>A.7.2.2</t>
  </si>
  <si>
    <t xml:space="preserve">A.7.2.1 Divulgación y apropiación del Manual de Seguridad de la Información </t>
  </si>
  <si>
    <t>Control: La dirección debería exigir a todos los empleados y contratistas la aplicación de la seguridad de la información de acuerdo con las políticas y procedimientos establecidos por la organización.</t>
  </si>
  <si>
    <t>Responsabilidades de la dirección</t>
  </si>
  <si>
    <t>A.7.2.1</t>
  </si>
  <si>
    <t>A.7.2 Asegurarse de que los empleados y contratistas tomen conciencia de sus responsabilidades de seguridad de la información y las cumplan mediante estrategias de supervisión.</t>
  </si>
  <si>
    <t>Objetivo: Asegurarse de que los empleados y contratistas tomen conciencia de sus responsabilidades de seguridad de la información y las cumplan.</t>
  </si>
  <si>
    <t>Durante la ejecución del empleo</t>
  </si>
  <si>
    <t>A.7.2</t>
  </si>
  <si>
    <t>A.7.1.2 Suscribir acuerdos de confidencialidad sobre las responsabilidades del SGSI</t>
  </si>
  <si>
    <t>Control: Los acuerdos contractuales con empleados y contratistas, deberían establecer sus responsabilidades y las de la organización en cuanto a la seguridad de la información.</t>
  </si>
  <si>
    <t>Términos y condiciones del empleo</t>
  </si>
  <si>
    <t>A.7.1.2</t>
  </si>
  <si>
    <t xml:space="preserve">A.7.1.1 Verificar los requerimientos mínimos que debe cumplir el contratista/empleado para la ejecución de sus obligaciones acorde con la idoneidad requerida. </t>
  </si>
  <si>
    <t>Control: Las verificaciones de los antecedentes de todos los candidatos a un empleo se deberían llevar a cabo de acuerdo con las leyes, reglamentos y ética pertinentes, y deberían ser proporcionales a los requisitos de negocio, a la clasificación de la información a que se va a tener acceso, y a los riesgos percibidos.</t>
  </si>
  <si>
    <t>A.7.1.1</t>
  </si>
  <si>
    <t>A.7.1 Definir claramente los requerimientos acorde con las necesidades de la entidad y propender por su comprensión.</t>
  </si>
  <si>
    <t>Objetivo: Asegurar que los empleados y contratistas comprenden sus responsabilidades y son idóneos en los roles para los que se consideran.</t>
  </si>
  <si>
    <t>Antes de asumir el empleo</t>
  </si>
  <si>
    <t>A.7.1</t>
  </si>
  <si>
    <t>Seguridad de los recursos humanos</t>
  </si>
  <si>
    <t>A.7</t>
  </si>
  <si>
    <t>A.6.2 Verificación y seguimiento de actualización del antivirus</t>
  </si>
  <si>
    <t>Control: Se deberían implementar una política y unas medidas de seguridad de soporte, para proteger la información a la que se tiene acceso, que es procesada o almacenada en los lugares en los que se realiza teletrabajo.</t>
  </si>
  <si>
    <t>Teletrabajo</t>
  </si>
  <si>
    <t>A.6.2.2</t>
  </si>
  <si>
    <t>A.6.2 Seguimiento y control sobre el software instalado</t>
  </si>
  <si>
    <t>Control: Se deberían adoptar una política y unas medidas de seguridad de soporte, para gestionar los riesgos introducidos por el uso de dispositivos móviles.</t>
  </si>
  <si>
    <t>Política para dispositivos móviles</t>
  </si>
  <si>
    <t>A.6.2.1</t>
  </si>
  <si>
    <t>A.6.2 Seguimiento y control sobre las conexiones virtuales (VPN)</t>
  </si>
  <si>
    <t>Objetivo: Garantizar la seguridad del teletrabajo y el uso de dispositivos móviles.</t>
  </si>
  <si>
    <t>Dispositivos móviles y teletrabajo</t>
  </si>
  <si>
    <t>A.6.2</t>
  </si>
  <si>
    <t>Control: La seguridad de la información se debería tratar en la gestión de proyectos, independientemente del tipo de proyecto.</t>
  </si>
  <si>
    <t>Seguridad de la información en la gestión de proyectos</t>
  </si>
  <si>
    <t>A.6.1.5</t>
  </si>
  <si>
    <t xml:space="preserve">A 6.1 Propender en el fortalecimiento de las alianzas estratégicas para la generación de grupos de valor que permitan el intercambio de información </t>
  </si>
  <si>
    <t>Control: Es conveniente mantener contactos apropiados con grupos de interés especial u otros foros y asociaciones profesionales especializadas en seguridad.</t>
  </si>
  <si>
    <t>Contacto con grupos de interés especial</t>
  </si>
  <si>
    <t>A.6.1.4</t>
  </si>
  <si>
    <t>A 6.1 Reportar a las autoridades competentes de acuerdo con sus competencias.</t>
  </si>
  <si>
    <t>Control: Se deberían mantener los contactos apropiados con las autoridades pertinentes.</t>
  </si>
  <si>
    <t>Contacto con las autoridades</t>
  </si>
  <si>
    <t>A.6.1.3</t>
  </si>
  <si>
    <t>A 6.1 Conformar el equipo de seguridad de la información de forma independiente a la Oficina TIC.</t>
  </si>
  <si>
    <t>Control: Los deberes y áreas de responsabilidad en conflicto se deberían separar para reducir las posibilidades de modificación no autorizada o no intencional, o el uso indebido de los activos de la organización.</t>
  </si>
  <si>
    <t>Separación de deberes</t>
  </si>
  <si>
    <t>A.6.1.2</t>
  </si>
  <si>
    <t>A 6.1 Asignación de roles y responsabilidades frente a la gestión del SGSI</t>
  </si>
  <si>
    <t>Control: Se deberían definir y asignar todas las responsabilidades de la seguridad de la información.</t>
  </si>
  <si>
    <t>Roles y responsabilidades para la seguridad de información</t>
  </si>
  <si>
    <t>A.6.1.1</t>
  </si>
  <si>
    <t>Objetivo: Establecer un marco de referencia de gestión para iniciar y controlar la implementación y la operación de la seguridad de la información dentro de la organización.</t>
  </si>
  <si>
    <t>Organización interna</t>
  </si>
  <si>
    <t>A.6.1</t>
  </si>
  <si>
    <t>Organización de la seguridad de la información</t>
  </si>
  <si>
    <t>A.6</t>
  </si>
  <si>
    <t>A 5.1 Actualización de las políticas de seguridad acorde con las necesidades de la entidad.</t>
  </si>
  <si>
    <t>Control: Las políticas para seguridad de la información se deberían revisar a intervalos planificados o si ocurren cambios significativos, para asegurar su conveniencia, adecuación y eficacia continuas.</t>
  </si>
  <si>
    <t>Revisión de las políticas para seguridad de la información</t>
  </si>
  <si>
    <t>A.5.1.2</t>
  </si>
  <si>
    <t>A 5.1 Inclusión de acuerdos de confidencialidad con terceros.</t>
  </si>
  <si>
    <t>Control: Se debería definir un conjunto de políticas para la seguridad de la información, aprobada por la dirección, publicada y comunicada a los empleados y partes externas pertinentes.</t>
  </si>
  <si>
    <t>Políticas para la seguridad de la información</t>
  </si>
  <si>
    <t>A.5.1.1</t>
  </si>
  <si>
    <t>A 5.1 Asignar por parte de la alta dirección los recursos físicos, financieros, humanos, tecnológicos</t>
  </si>
  <si>
    <t>Objetivo: Brindar orientación y apoyo por parte de la dirección, para la seguridad de la información de acuerdo con los requisitos del negocio y con las leyes y reglamentos pertinentes.</t>
  </si>
  <si>
    <t>Directrices establecidas por la dirección para la seguridad de la información</t>
  </si>
  <si>
    <t>A.5.1</t>
  </si>
  <si>
    <t>Políticas de seguridad de la información</t>
  </si>
  <si>
    <t>A.5</t>
  </si>
  <si>
    <t>La norma ISO/IEC 27000, contiene 14 numérales de control de seguridad de la información que en su conjunto contienen más de 35 categorías de seguridad principales y 114 controles.</t>
  </si>
  <si>
    <t>Estructura de la norma</t>
  </si>
  <si>
    <t>Para los propósitos de este documento se aplican los términos y definiciones presentados en la norma ISO/IEC 27000.</t>
  </si>
  <si>
    <t>Términos y definiciones</t>
  </si>
  <si>
    <t>La ISO/IEC 27000, es referenciada parcial o totalmente en el documento y es indispensable para su aplicación.</t>
  </si>
  <si>
    <t>Referencias normativas</t>
  </si>
  <si>
    <t>Seleccionar los controles dentro del proceso de implementación del Sistema de Gestión de Seguridad de la Información - SGSI</t>
  </si>
  <si>
    <t>Objeto y campo de aplicación</t>
  </si>
  <si>
    <t xml:space="preserve">Listado de Controles propuestos </t>
  </si>
  <si>
    <t>Aplica</t>
  </si>
  <si>
    <t>Descripción / Justificación</t>
  </si>
  <si>
    <t>Nombre</t>
  </si>
  <si>
    <t>Núm.</t>
  </si>
  <si>
    <t>Información Pública</t>
  </si>
  <si>
    <t>Información Pública Clasificada</t>
  </si>
  <si>
    <t>Información Pública Reservada</t>
  </si>
  <si>
    <t>NIVEL DE CONFIDENCIALIDAD DE LA INFORMACIÓN (LEY 1712 DE 2014)</t>
  </si>
  <si>
    <t>Ambos</t>
  </si>
  <si>
    <t>Medio</t>
  </si>
  <si>
    <t>Electrónico</t>
  </si>
  <si>
    <t>Físico</t>
  </si>
  <si>
    <t>NIVEL DE DISPONIBILIDAD DE LA INFORMACIÓN</t>
  </si>
  <si>
    <t>NIVEL DE INTEGRIDAD DE LA INFORMACIÓN</t>
  </si>
  <si>
    <t>MEDIO DE CONSERVACION O SOPORTE</t>
  </si>
  <si>
    <t>Disponible y publicado</t>
  </si>
  <si>
    <t>Publicado</t>
  </si>
  <si>
    <t>Disponible</t>
  </si>
  <si>
    <t>ESTADO DE LA INFORMACION</t>
  </si>
  <si>
    <t>CONTROLES</t>
  </si>
  <si>
    <r>
      <rPr>
        <b/>
        <sz val="14"/>
        <rFont val="Arial Narrow"/>
        <family val="2"/>
      </rPr>
      <t>Versión:</t>
    </r>
    <r>
      <rPr>
        <sz val="14"/>
        <rFont val="Arial Narrow"/>
        <family val="2"/>
      </rPr>
      <t xml:space="preserve"> 5</t>
    </r>
  </si>
  <si>
    <r>
      <rPr>
        <b/>
        <sz val="14"/>
        <rFont val="Arial Narrow"/>
        <family val="2"/>
      </rPr>
      <t>Vigencia:</t>
    </r>
    <r>
      <rPr>
        <sz val="14"/>
        <rFont val="Arial Narrow"/>
        <family val="2"/>
      </rPr>
      <t xml:space="preserve"> 30/05/2021</t>
    </r>
  </si>
  <si>
    <r>
      <rPr>
        <b/>
        <sz val="14"/>
        <rFont val="Arial Narrow"/>
        <family val="2"/>
      </rPr>
      <t xml:space="preserve">Vigencia: </t>
    </r>
    <r>
      <rPr>
        <sz val="14"/>
        <rFont val="Arial Narrow"/>
        <family val="2"/>
      </rPr>
      <t>30/05/2021</t>
    </r>
  </si>
  <si>
    <t>ACTIVOS DE INFORMACIÓN - MAPA DE RIESGOS DE SEGURIDAD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</si>
</sst>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9"/>
      <color indexed="81"/>
      <name val="Tahoma"/>
      <family val="2"/>
    </font>
    <font>
      <b/>
      <sz val="10"/>
      <color theme="1"/>
      <name val="Arial Narrow"/>
      <family val="2"/>
    </font>
    <font>
      <b/>
      <sz val="10"/>
      <color theme="0"/>
      <name val="Arial Narrow"/>
      <family val="2"/>
    </font>
    <font>
      <b/>
      <sz val="10"/>
      <color indexed="8"/>
      <name val="Arial Narrow"/>
      <family val="2"/>
    </font>
    <font>
      <sz val="10"/>
      <color theme="0"/>
      <name val="Arial Narrow"/>
      <family val="2"/>
    </font>
    <font>
      <sz val="14"/>
      <name val="Arial Narrow"/>
      <family val="2"/>
    </font>
    <font>
      <u/>
      <sz val="10"/>
      <color indexed="12"/>
      <name val="Arial"/>
      <family val="2"/>
    </font>
    <font>
      <b/>
      <sz val="14"/>
      <color theme="0"/>
      <name val="Arial Narrow"/>
      <family val="2"/>
    </font>
    <font>
      <sz val="16"/>
      <name val="Arial"/>
      <family val="2"/>
    </font>
    <font>
      <sz val="16"/>
      <name val="Arial Narrow"/>
      <family val="2"/>
    </font>
    <font>
      <b/>
      <sz val="15"/>
      <color theme="0"/>
      <name val="Arial"/>
      <family val="2"/>
    </font>
    <font>
      <b/>
      <sz val="9"/>
      <color indexed="81"/>
      <name val="Tahoma"/>
      <family val="2"/>
    </font>
    <font>
      <b/>
      <sz val="10"/>
      <color rgb="FF000000"/>
      <name val="Arial Narrow"/>
      <family val="2"/>
    </font>
    <font>
      <b/>
      <sz val="11"/>
      <color theme="0"/>
      <name val="Arial Narrow"/>
      <family val="2"/>
    </font>
    <font>
      <sz val="9"/>
      <color indexed="81"/>
      <name val="Arial Narrow"/>
      <family val="2"/>
    </font>
    <font>
      <sz val="11"/>
      <color rgb="FF000000"/>
      <name val="Arial Narrow"/>
      <family val="2"/>
    </font>
    <font>
      <i/>
      <sz val="10"/>
      <color rgb="FF000000"/>
      <name val="Arial Narrow"/>
      <family val="2"/>
    </font>
  </fonts>
  <fills count="2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E6EFFD"/>
        <bgColor indexed="64"/>
      </patternFill>
    </fill>
    <fill>
      <patternFill patternType="solid">
        <fgColor theme="5" tint="0.59999389629810485"/>
        <bgColor indexed="64"/>
      </patternFill>
    </fill>
    <fill>
      <patternFill patternType="solid">
        <fgColor rgb="FF4472C4"/>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indexed="9"/>
        <bgColor indexed="64"/>
      </patternFill>
    </fill>
    <fill>
      <patternFill patternType="solid">
        <fgColor rgb="FF4472A6"/>
        <bgColor indexed="64"/>
      </patternFill>
    </fill>
    <fill>
      <patternFill patternType="solid">
        <fgColor rgb="FFE6EFFD"/>
        <bgColor rgb="FF000000"/>
      </patternFill>
    </fill>
    <fill>
      <patternFill patternType="solid">
        <fgColor theme="0"/>
        <bgColor rgb="FF000000"/>
      </patternFill>
    </fill>
  </fills>
  <borders count="100">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style="thin">
        <color auto="1"/>
      </right>
      <top style="medium">
        <color indexed="64"/>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auto="1"/>
      </top>
      <bottom/>
      <diagonal/>
    </border>
    <border>
      <left style="dashed">
        <color theme="9" tint="-0.24994659260841701"/>
      </left>
      <right/>
      <top style="dashed">
        <color theme="9" tint="-0.24994659260841701"/>
      </top>
      <bottom/>
      <diagonal/>
    </border>
    <border>
      <left style="medium">
        <color indexed="64"/>
      </left>
      <right style="medium">
        <color indexed="64"/>
      </right>
      <top style="dashed">
        <color theme="9" tint="-0.24994659260841701"/>
      </top>
      <bottom/>
      <diagonal/>
    </border>
    <border>
      <left/>
      <right style="dashed">
        <color theme="9" tint="-0.24994659260841701"/>
      </right>
      <top/>
      <bottom/>
      <diagonal/>
    </border>
    <border>
      <left style="dashed">
        <color theme="9" tint="-0.24994659260841701"/>
      </left>
      <right style="dashed">
        <color theme="9" tint="-0.24994659260841701"/>
      </right>
      <top/>
      <bottom/>
      <diagonal/>
    </border>
    <border>
      <left style="medium">
        <color indexed="64"/>
      </left>
      <right style="medium">
        <color indexed="64"/>
      </right>
      <top style="medium">
        <color indexed="64"/>
      </top>
      <bottom style="dashed">
        <color theme="9" tint="-0.24994659260841701"/>
      </bottom>
      <diagonal/>
    </border>
    <border>
      <left/>
      <right/>
      <top/>
      <bottom style="dashed">
        <color theme="9" tint="-0.24994659260841701"/>
      </bottom>
      <diagonal/>
    </border>
    <border>
      <left style="dashed">
        <color theme="9" tint="-0.24994659260841701"/>
      </left>
      <right style="dashed">
        <color theme="9" tint="-0.24994659260841701"/>
      </right>
      <top style="medium">
        <color indexed="64"/>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right style="medium">
        <color indexed="64"/>
      </right>
      <top style="thin">
        <color auto="1"/>
      </top>
      <bottom style="medium">
        <color indexed="64"/>
      </bottom>
      <diagonal/>
    </border>
  </borders>
  <cellStyleXfs count="9">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35" fillId="0" borderId="0"/>
    <xf numFmtId="0" fontId="46" fillId="0" borderId="0"/>
    <xf numFmtId="0" fontId="63" fillId="0" borderId="0" applyNumberFormat="0" applyFill="0" applyBorder="0" applyAlignment="0" applyProtection="0">
      <alignment vertical="top"/>
      <protection locked="0"/>
    </xf>
    <xf numFmtId="0" fontId="46" fillId="0" borderId="0"/>
  </cellStyleXfs>
  <cellXfs count="67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Fill="1" applyAlignment="1">
      <alignment vertical="center"/>
    </xf>
    <xf numFmtId="0" fontId="28" fillId="0" borderId="0" xfId="0" applyFont="1" applyFill="1"/>
    <xf numFmtId="0" fontId="26" fillId="0" borderId="0" xfId="0" applyFont="1"/>
    <xf numFmtId="0" fontId="0" fillId="0" borderId="0" xfId="0" pivotButton="1"/>
    <xf numFmtId="0" fontId="12" fillId="0" borderId="0" xfId="0" applyFont="1" applyBorder="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2"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2"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2"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8" fillId="3" borderId="37" xfId="2" applyFont="1" applyFill="1" applyBorder="1" applyProtection="1"/>
    <xf numFmtId="0" fontId="48" fillId="3" borderId="38" xfId="2" applyFont="1" applyFill="1" applyBorder="1" applyProtection="1"/>
    <xf numFmtId="0" fontId="48" fillId="3" borderId="39" xfId="2" applyFont="1" applyFill="1" applyBorder="1" applyProtection="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0" xfId="0" applyFont="1" applyFill="1" applyBorder="1" applyAlignment="1">
      <alignment horizontal="center" vertical="center" wrapText="1" readingOrder="1"/>
    </xf>
    <xf numFmtId="0" fontId="37" fillId="3" borderId="20" xfId="0" applyFont="1" applyFill="1" applyBorder="1" applyAlignment="1">
      <alignment horizontal="justify" vertical="center" wrapText="1" readingOrder="1"/>
    </xf>
    <xf numFmtId="9" fontId="36" fillId="3" borderId="29" xfId="0" applyNumberFormat="1" applyFont="1" applyFill="1" applyBorder="1" applyAlignment="1">
      <alignment horizontal="center" vertical="center" wrapText="1" readingOrder="1"/>
    </xf>
    <xf numFmtId="0" fontId="36" fillId="3" borderId="19" xfId="0" applyFont="1" applyFill="1" applyBorder="1" applyAlignment="1">
      <alignment horizontal="center" vertical="center" wrapText="1" readingOrder="1"/>
    </xf>
    <xf numFmtId="0" fontId="37" fillId="3" borderId="19" xfId="0" applyFont="1" applyFill="1" applyBorder="1" applyAlignment="1">
      <alignment horizontal="justify" vertical="center" wrapText="1" readingOrder="1"/>
    </xf>
    <xf numFmtId="9" fontId="36" fillId="3" borderId="24" xfId="0" applyNumberFormat="1" applyFont="1" applyFill="1" applyBorder="1" applyAlignment="1">
      <alignment horizontal="center" vertical="center" wrapText="1" readingOrder="1"/>
    </xf>
    <xf numFmtId="0" fontId="37" fillId="3" borderId="24"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7" fillId="3" borderId="26" xfId="0" applyFont="1" applyFill="1" applyBorder="1" applyAlignment="1">
      <alignment horizontal="justify" vertical="center" wrapText="1" readingOrder="1"/>
    </xf>
    <xf numFmtId="0" fontId="37" fillId="3" borderId="27" xfId="0" applyFont="1" applyFill="1" applyBorder="1" applyAlignment="1">
      <alignment horizontal="center" vertical="center" wrapText="1" readingOrder="1"/>
    </xf>
    <xf numFmtId="0" fontId="45" fillId="3" borderId="0" xfId="0" applyFont="1" applyFill="1"/>
    <xf numFmtId="0" fontId="36" fillId="15" borderId="31" xfId="0" applyFont="1" applyFill="1" applyBorder="1" applyAlignment="1">
      <alignment horizontal="center" vertical="center" wrapText="1" readingOrder="1"/>
    </xf>
    <xf numFmtId="0" fontId="36" fillId="15" borderId="32"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5" xfId="2" applyFont="1" applyFill="1" applyBorder="1" applyProtection="1"/>
    <xf numFmtId="0" fontId="53" fillId="3" borderId="0" xfId="0" applyFont="1" applyFill="1" applyBorder="1" applyAlignment="1" applyProtection="1">
      <alignment horizontal="left" vertical="center" wrapText="1"/>
    </xf>
    <xf numFmtId="0" fontId="54" fillId="3" borderId="0" xfId="0" applyFont="1" applyFill="1" applyBorder="1" applyAlignment="1" applyProtection="1">
      <alignment horizontal="left" vertical="top" wrapText="1"/>
    </xf>
    <xf numFmtId="0" fontId="48" fillId="3" borderId="0" xfId="2" applyFont="1" applyFill="1" applyBorder="1" applyProtection="1"/>
    <xf numFmtId="0" fontId="48" fillId="3" borderId="6" xfId="2" applyFont="1" applyFill="1" applyBorder="1" applyProtection="1"/>
    <xf numFmtId="0" fontId="48" fillId="3" borderId="7" xfId="2" applyFont="1" applyFill="1" applyBorder="1" applyProtection="1"/>
    <xf numFmtId="0" fontId="48" fillId="3" borderId="9" xfId="2" applyFont="1" applyFill="1" applyBorder="1" applyProtection="1"/>
    <xf numFmtId="0" fontId="48" fillId="3" borderId="8" xfId="2" applyFont="1" applyFill="1" applyBorder="1" applyProtection="1"/>
    <xf numFmtId="0" fontId="52" fillId="3" borderId="0" xfId="2" applyFont="1" applyFill="1" applyBorder="1" applyAlignment="1" applyProtection="1">
      <alignment horizontal="left" vertical="center" wrapText="1"/>
    </xf>
    <xf numFmtId="0" fontId="48" fillId="3" borderId="0" xfId="2" applyFont="1" applyFill="1" applyBorder="1" applyAlignment="1" applyProtection="1">
      <alignment horizontal="left" vertical="center" wrapText="1"/>
    </xf>
    <xf numFmtId="0" fontId="48" fillId="3" borderId="0" xfId="2" quotePrefix="1" applyFont="1" applyFill="1" applyBorder="1" applyAlignment="1" applyProtection="1">
      <alignment horizontal="left" vertical="center" wrapText="1"/>
    </xf>
    <xf numFmtId="0" fontId="48" fillId="3" borderId="6" xfId="2" applyFont="1" applyFill="1" applyBorder="1" applyAlignment="1" applyProtection="1"/>
    <xf numFmtId="0" fontId="50" fillId="3" borderId="5" xfId="2" quotePrefix="1" applyFont="1" applyFill="1" applyBorder="1" applyAlignment="1" applyProtection="1">
      <alignment horizontal="left" vertical="top" wrapText="1"/>
    </xf>
    <xf numFmtId="0" fontId="51" fillId="3" borderId="0" xfId="2" quotePrefix="1" applyFont="1" applyFill="1" applyBorder="1" applyAlignment="1" applyProtection="1">
      <alignment horizontal="left" vertical="top" wrapText="1"/>
    </xf>
    <xf numFmtId="0" fontId="51" fillId="3" borderId="6" xfId="2" quotePrefix="1" applyFont="1" applyFill="1" applyBorder="1" applyAlignment="1" applyProtection="1">
      <alignment horizontal="left" vertical="top" wrapText="1"/>
    </xf>
    <xf numFmtId="0" fontId="1" fillId="0" borderId="0" xfId="0" applyFont="1" applyAlignment="1">
      <alignment horizontal="center" vertical="center" wrapText="1"/>
    </xf>
    <xf numFmtId="0" fontId="6" fillId="0" borderId="19" xfId="0" applyFont="1" applyBorder="1" applyAlignment="1" applyProtection="1">
      <alignment horizontal="justify" vertical="center" wrapText="1"/>
      <protection locked="0"/>
    </xf>
    <xf numFmtId="0" fontId="6" fillId="0" borderId="0" xfId="0" applyFont="1"/>
    <xf numFmtId="0" fontId="6" fillId="0" borderId="0" xfId="0" applyFont="1" applyAlignment="1">
      <alignment horizontal="center"/>
    </xf>
    <xf numFmtId="0" fontId="6" fillId="0" borderId="19" xfId="0" applyFont="1" applyBorder="1"/>
    <xf numFmtId="0" fontId="48" fillId="0" borderId="19" xfId="0" applyFont="1" applyBorder="1" applyAlignment="1">
      <alignment vertical="center" wrapText="1"/>
    </xf>
    <xf numFmtId="0" fontId="60" fillId="19" borderId="72" xfId="6" applyFont="1" applyFill="1" applyBorder="1" applyAlignment="1">
      <alignment horizontal="center" vertical="center" wrapText="1"/>
    </xf>
    <xf numFmtId="0" fontId="6" fillId="0" borderId="0" xfId="0" applyFont="1" applyAlignment="1">
      <alignment horizontal="center" vertical="center"/>
    </xf>
    <xf numFmtId="0" fontId="0" fillId="0" borderId="0" xfId="0" applyAlignment="1">
      <alignment wrapText="1"/>
    </xf>
    <xf numFmtId="0" fontId="6" fillId="0" borderId="19" xfId="0" applyFont="1" applyBorder="1" applyAlignment="1">
      <alignment horizontal="center"/>
    </xf>
    <xf numFmtId="0" fontId="48" fillId="0" borderId="19" xfId="0" applyFont="1" applyBorder="1" applyAlignment="1">
      <alignment horizontal="center"/>
    </xf>
    <xf numFmtId="0" fontId="6" fillId="0" borderId="0" xfId="0" applyFont="1" applyAlignment="1">
      <alignment wrapText="1"/>
    </xf>
    <xf numFmtId="0" fontId="3" fillId="0" borderId="0" xfId="0" applyFont="1" applyAlignment="1">
      <alignment vertical="center" wrapText="1"/>
    </xf>
    <xf numFmtId="0" fontId="48" fillId="0" borderId="19" xfId="0" applyFont="1" applyBorder="1" applyAlignment="1">
      <alignment horizontal="center" vertical="center" wrapText="1"/>
    </xf>
    <xf numFmtId="0" fontId="48" fillId="0" borderId="0" xfId="0" applyFont="1" applyAlignment="1">
      <alignment vertical="center" wrapText="1"/>
    </xf>
    <xf numFmtId="0" fontId="3" fillId="0" borderId="19" xfId="0" applyFont="1" applyBorder="1" applyAlignment="1">
      <alignment horizontal="center" vertical="center" wrapText="1"/>
    </xf>
    <xf numFmtId="0" fontId="52" fillId="16" borderId="19"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19" xfId="0" applyFont="1" applyBorder="1" applyAlignment="1">
      <alignment horizontal="center" wrapText="1"/>
    </xf>
    <xf numFmtId="0" fontId="6" fillId="0" borderId="19" xfId="0" applyFont="1" applyBorder="1" applyAlignment="1">
      <alignment horizontal="center" vertical="center" wrapText="1"/>
    </xf>
    <xf numFmtId="0" fontId="69" fillId="17" borderId="19" xfId="0" applyFont="1" applyFill="1" applyBorder="1" applyAlignment="1">
      <alignment horizontal="center" vertical="center" wrapText="1"/>
    </xf>
    <xf numFmtId="0" fontId="69" fillId="16" borderId="19" xfId="0" applyFont="1" applyFill="1" applyBorder="1" applyAlignment="1">
      <alignment horizontal="center" vertical="center" wrapText="1"/>
    </xf>
    <xf numFmtId="0" fontId="58" fillId="16" borderId="19" xfId="0" applyFont="1" applyFill="1" applyBorder="1" applyAlignment="1">
      <alignment horizontal="center" vertical="center"/>
    </xf>
    <xf numFmtId="0" fontId="58" fillId="16" borderId="19" xfId="0" applyFont="1" applyFill="1" applyBorder="1" applyAlignment="1">
      <alignment horizontal="center" vertical="center" wrapText="1"/>
    </xf>
    <xf numFmtId="14" fontId="6" fillId="0" borderId="19" xfId="0" applyNumberFormat="1" applyFont="1" applyBorder="1" applyAlignment="1" applyProtection="1">
      <alignment horizontal="center" vertical="center"/>
      <protection locked="0"/>
    </xf>
    <xf numFmtId="0" fontId="6" fillId="0" borderId="19" xfId="0" applyFont="1" applyBorder="1" applyAlignment="1" applyProtection="1">
      <alignment horizontal="center" vertical="center" textRotation="90"/>
      <protection locked="0"/>
    </xf>
    <xf numFmtId="9" fontId="6" fillId="0" borderId="19" xfId="0" applyNumberFormat="1" applyFont="1" applyBorder="1" applyAlignment="1" applyProtection="1">
      <alignment horizontal="center" vertical="center"/>
      <protection hidden="1"/>
    </xf>
    <xf numFmtId="164" fontId="6" fillId="0" borderId="19" xfId="1" applyNumberFormat="1" applyFont="1" applyBorder="1" applyAlignment="1">
      <alignment horizontal="center" vertical="center"/>
    </xf>
    <xf numFmtId="0" fontId="6" fillId="0" borderId="19"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locked="0"/>
    </xf>
    <xf numFmtId="0" fontId="6" fillId="0" borderId="19" xfId="0" applyFont="1" applyBorder="1" applyAlignment="1" applyProtection="1">
      <alignment horizontal="center" vertical="center" wrapText="1"/>
      <protection locked="0"/>
    </xf>
    <xf numFmtId="0" fontId="6" fillId="3" borderId="0" xfId="0" applyFont="1" applyFill="1"/>
    <xf numFmtId="164" fontId="6" fillId="9" borderId="19" xfId="1" applyNumberFormat="1" applyFont="1" applyFill="1" applyBorder="1" applyAlignment="1">
      <alignment horizontal="center" vertical="center"/>
    </xf>
    <xf numFmtId="0" fontId="6" fillId="0" borderId="19" xfId="0" applyFont="1" applyBorder="1" applyAlignment="1" applyProtection="1">
      <alignment horizontal="center" vertical="center"/>
    </xf>
    <xf numFmtId="0" fontId="58" fillId="0" borderId="19" xfId="0" applyFont="1" applyFill="1" applyBorder="1" applyAlignment="1" applyProtection="1">
      <alignment horizontal="center" vertical="center" textRotation="90" wrapText="1"/>
      <protection hidden="1"/>
    </xf>
    <xf numFmtId="0" fontId="58" fillId="0" borderId="19" xfId="0" applyFont="1" applyBorder="1" applyAlignment="1" applyProtection="1">
      <alignment horizontal="center" vertical="center" textRotation="90"/>
      <protection hidden="1"/>
    </xf>
    <xf numFmtId="0" fontId="6" fillId="0" borderId="0" xfId="0" applyFont="1" applyAlignment="1">
      <alignment vertical="center"/>
    </xf>
    <xf numFmtId="0" fontId="6" fillId="3" borderId="0" xfId="0" applyFont="1" applyFill="1" applyAlignment="1">
      <alignment vertical="center"/>
    </xf>
    <xf numFmtId="0" fontId="6" fillId="0" borderId="0" xfId="0" applyFont="1" applyAlignment="1">
      <alignment horizontal="center" vertical="center" wrapText="1"/>
    </xf>
    <xf numFmtId="0" fontId="6" fillId="0" borderId="68" xfId="0" applyFont="1" applyBorder="1" applyAlignment="1" applyProtection="1">
      <alignment horizontal="center" vertical="center"/>
    </xf>
    <xf numFmtId="0" fontId="6" fillId="0" borderId="68" xfId="0" applyFont="1" applyBorder="1" applyAlignment="1" applyProtection="1">
      <alignment horizontal="center" vertical="center"/>
      <protection hidden="1"/>
    </xf>
    <xf numFmtId="0" fontId="6" fillId="0" borderId="68" xfId="0" applyFont="1" applyBorder="1" applyAlignment="1" applyProtection="1">
      <alignment horizontal="center" vertical="center" textRotation="90"/>
      <protection locked="0"/>
    </xf>
    <xf numFmtId="9" fontId="6" fillId="0" borderId="68" xfId="0" applyNumberFormat="1" applyFont="1" applyBorder="1" applyAlignment="1" applyProtection="1">
      <alignment horizontal="center" vertical="center"/>
      <protection hidden="1"/>
    </xf>
    <xf numFmtId="164" fontId="6" fillId="0" borderId="68" xfId="1" applyNumberFormat="1" applyFont="1" applyBorder="1" applyAlignment="1">
      <alignment horizontal="center" vertical="center"/>
    </xf>
    <xf numFmtId="0" fontId="58" fillId="0" borderId="68" xfId="0" applyFont="1" applyFill="1" applyBorder="1" applyAlignment="1" applyProtection="1">
      <alignment horizontal="center" vertical="center" textRotation="90" wrapText="1"/>
      <protection hidden="1"/>
    </xf>
    <xf numFmtId="0" fontId="58" fillId="0" borderId="68" xfId="0" applyFont="1" applyBorder="1" applyAlignment="1" applyProtection="1">
      <alignment horizontal="center" vertical="center" textRotation="90"/>
      <protection hidden="1"/>
    </xf>
    <xf numFmtId="0" fontId="6" fillId="0" borderId="68"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protection locked="0"/>
    </xf>
    <xf numFmtId="14" fontId="6" fillId="0" borderId="68" xfId="0" applyNumberFormat="1" applyFont="1" applyBorder="1" applyAlignment="1" applyProtection="1">
      <alignment horizontal="center" vertical="center"/>
      <protection locked="0"/>
    </xf>
    <xf numFmtId="0" fontId="6" fillId="0" borderId="26" xfId="0" applyFont="1" applyBorder="1" applyAlignment="1" applyProtection="1">
      <alignment horizontal="center" vertical="center"/>
    </xf>
    <xf numFmtId="0" fontId="6" fillId="0" borderId="26" xfId="0" applyFont="1" applyBorder="1" applyAlignment="1" applyProtection="1">
      <alignment horizontal="center" vertical="center"/>
      <protection hidden="1"/>
    </xf>
    <xf numFmtId="0" fontId="6" fillId="0" borderId="26" xfId="0" applyFont="1" applyBorder="1" applyAlignment="1" applyProtection="1">
      <alignment horizontal="center" vertical="center" textRotation="90"/>
      <protection locked="0"/>
    </xf>
    <xf numFmtId="9" fontId="6" fillId="0" borderId="26" xfId="0" applyNumberFormat="1" applyFont="1" applyBorder="1" applyAlignment="1" applyProtection="1">
      <alignment horizontal="center" vertical="center"/>
      <protection hidden="1"/>
    </xf>
    <xf numFmtId="164" fontId="6" fillId="0" borderId="26" xfId="1" applyNumberFormat="1" applyFont="1" applyBorder="1" applyAlignment="1">
      <alignment horizontal="center" vertical="center"/>
    </xf>
    <xf numFmtId="0" fontId="58" fillId="0" borderId="26" xfId="0" applyFont="1" applyFill="1" applyBorder="1" applyAlignment="1" applyProtection="1">
      <alignment horizontal="center" vertical="center" textRotation="90" wrapText="1"/>
      <protection hidden="1"/>
    </xf>
    <xf numFmtId="0" fontId="58" fillId="0" borderId="26" xfId="0" applyFont="1" applyBorder="1" applyAlignment="1" applyProtection="1">
      <alignment horizontal="center" vertical="center" textRotation="90"/>
      <protection hidden="1"/>
    </xf>
    <xf numFmtId="0" fontId="6" fillId="0" borderId="26"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14" fontId="6" fillId="0" borderId="26" xfId="0" applyNumberFormat="1" applyFont="1" applyBorder="1" applyAlignment="1" applyProtection="1">
      <alignment horizontal="center" vertical="center"/>
      <protection locked="0"/>
    </xf>
    <xf numFmtId="0" fontId="6" fillId="0" borderId="0" xfId="0" applyFont="1" applyAlignment="1">
      <alignment horizontal="left"/>
    </xf>
    <xf numFmtId="0" fontId="58" fillId="0" borderId="0" xfId="0" applyFont="1" applyAlignment="1">
      <alignment horizontal="left"/>
    </xf>
    <xf numFmtId="0" fontId="62" fillId="0" borderId="22" xfId="7" applyFont="1" applyFill="1" applyBorder="1" applyAlignment="1" applyProtection="1">
      <alignment horizontal="center" vertical="center" wrapText="1"/>
    </xf>
    <xf numFmtId="0" fontId="6" fillId="0" borderId="67"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48" fillId="0" borderId="68" xfId="0" applyFont="1" applyBorder="1" applyAlignment="1" applyProtection="1">
      <alignment horizontal="center" vertical="center" wrapText="1"/>
      <protection locked="0"/>
    </xf>
    <xf numFmtId="0" fontId="48" fillId="0" borderId="19" xfId="0" applyFont="1" applyBorder="1" applyAlignment="1" applyProtection="1">
      <alignment horizontal="center" vertical="center" wrapText="1"/>
      <protection locked="0"/>
    </xf>
    <xf numFmtId="0" fontId="48" fillId="0" borderId="26"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0" fillId="19" borderId="72" xfId="6" applyFont="1" applyFill="1" applyBorder="1" applyAlignment="1">
      <alignment horizontal="center" vertical="center" wrapText="1"/>
    </xf>
    <xf numFmtId="0" fontId="48" fillId="0" borderId="20" xfId="0" applyFont="1" applyBorder="1" applyAlignment="1" applyProtection="1">
      <alignment horizontal="center" vertical="center" wrapText="1"/>
      <protection locked="0"/>
    </xf>
    <xf numFmtId="0" fontId="69" fillId="17" borderId="19" xfId="0" applyFont="1" applyFill="1" applyBorder="1" applyAlignment="1">
      <alignment horizontal="center" vertical="center" wrapText="1"/>
    </xf>
    <xf numFmtId="0" fontId="0" fillId="0" borderId="0" xfId="0" applyAlignment="1">
      <alignment horizontal="center"/>
    </xf>
    <xf numFmtId="0" fontId="48" fillId="0" borderId="0" xfId="0" applyFont="1"/>
    <xf numFmtId="0" fontId="52" fillId="19" borderId="19" xfId="0" applyFont="1" applyFill="1" applyBorder="1" applyAlignment="1" applyProtection="1">
      <alignment horizontal="center" vertical="center" wrapText="1"/>
      <protection locked="0"/>
    </xf>
    <xf numFmtId="0" fontId="52" fillId="19" borderId="19" xfId="0" applyFont="1" applyFill="1" applyBorder="1" applyAlignment="1">
      <alignment horizontal="center" vertical="center" wrapText="1"/>
    </xf>
    <xf numFmtId="0" fontId="72" fillId="0" borderId="0" xfId="0" applyFont="1"/>
    <xf numFmtId="0" fontId="3" fillId="0" borderId="19" xfId="0" applyFont="1" applyBorder="1"/>
    <xf numFmtId="0" fontId="69" fillId="19" borderId="19" xfId="0" applyFont="1" applyFill="1" applyBorder="1"/>
    <xf numFmtId="0" fontId="3" fillId="0" borderId="33" xfId="0" applyFont="1" applyBorder="1" applyAlignment="1">
      <alignment horizontal="center"/>
    </xf>
    <xf numFmtId="0" fontId="3" fillId="0" borderId="30" xfId="0" applyFont="1" applyBorder="1" applyAlignment="1">
      <alignment horizontal="center"/>
    </xf>
    <xf numFmtId="0" fontId="3" fillId="0" borderId="8" xfId="0" applyFont="1" applyBorder="1" applyAlignment="1">
      <alignment horizontal="center"/>
    </xf>
    <xf numFmtId="0" fontId="3" fillId="0" borderId="24" xfId="0" applyFont="1" applyBorder="1" applyAlignment="1">
      <alignment horizontal="center"/>
    </xf>
    <xf numFmtId="0" fontId="3" fillId="0" borderId="4" xfId="0" applyFont="1" applyBorder="1" applyAlignment="1">
      <alignment horizontal="center"/>
    </xf>
    <xf numFmtId="0" fontId="3" fillId="0" borderId="27" xfId="0" applyFont="1" applyBorder="1" applyAlignment="1">
      <alignment horizontal="center"/>
    </xf>
    <xf numFmtId="0" fontId="3" fillId="0" borderId="24" xfId="0" applyFont="1" applyBorder="1" applyAlignment="1">
      <alignment horizontal="center" vertical="top" wrapText="1"/>
    </xf>
    <xf numFmtId="0" fontId="3" fillId="0" borderId="73" xfId="0" applyFont="1" applyBorder="1" applyAlignment="1">
      <alignment horizontal="center"/>
    </xf>
    <xf numFmtId="0" fontId="69" fillId="27" borderId="99" xfId="0" applyFont="1" applyFill="1" applyBorder="1" applyAlignment="1">
      <alignment horizontal="center" vertical="center"/>
    </xf>
    <xf numFmtId="0" fontId="69" fillId="27" borderId="25" xfId="0" applyFont="1" applyFill="1" applyBorder="1" applyAlignment="1">
      <alignment horizontal="center" vertical="center"/>
    </xf>
    <xf numFmtId="0" fontId="3" fillId="0" borderId="27" xfId="0" applyFont="1" applyBorder="1" applyAlignment="1">
      <alignment horizontal="center" vertical="center"/>
    </xf>
    <xf numFmtId="0" fontId="3" fillId="0" borderId="73" xfId="0" applyFont="1" applyBorder="1" applyAlignment="1">
      <alignment horizontal="center" vertical="center"/>
    </xf>
    <xf numFmtId="0" fontId="3" fillId="0" borderId="24" xfId="0" applyFont="1" applyBorder="1" applyAlignment="1">
      <alignment horizontal="center" vertical="center"/>
    </xf>
    <xf numFmtId="0" fontId="69" fillId="27" borderId="27" xfId="0" applyFont="1" applyFill="1" applyBorder="1" applyAlignment="1">
      <alignment horizontal="center" vertical="center"/>
    </xf>
    <xf numFmtId="0" fontId="3" fillId="3" borderId="27" xfId="0" applyFont="1" applyFill="1" applyBorder="1" applyAlignment="1">
      <alignment wrapText="1"/>
    </xf>
    <xf numFmtId="0" fontId="3" fillId="0" borderId="25" xfId="0" applyFont="1" applyBorder="1" applyAlignment="1">
      <alignment horizontal="center" vertical="center"/>
    </xf>
    <xf numFmtId="0" fontId="3" fillId="0" borderId="24"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73" xfId="0" applyFont="1" applyBorder="1" applyAlignment="1">
      <alignment vertical="center" wrapText="1"/>
    </xf>
    <xf numFmtId="0" fontId="3" fillId="0" borderId="69" xfId="0" applyFont="1" applyBorder="1" applyAlignment="1">
      <alignment horizontal="center" vertical="center"/>
    </xf>
    <xf numFmtId="0" fontId="69" fillId="27" borderId="32" xfId="0" applyFont="1" applyFill="1" applyBorder="1" applyAlignment="1">
      <alignment horizontal="center"/>
    </xf>
    <xf numFmtId="0" fontId="69" fillId="27" borderId="30" xfId="0" applyFont="1" applyFill="1" applyBorder="1" applyAlignment="1">
      <alignment horizontal="center"/>
    </xf>
    <xf numFmtId="0" fontId="3" fillId="0" borderId="0" xfId="0" applyFont="1"/>
    <xf numFmtId="0" fontId="3" fillId="0" borderId="0" xfId="0" applyFont="1" applyAlignment="1">
      <alignment horizontal="left" vertical="center" wrapText="1"/>
    </xf>
    <xf numFmtId="0" fontId="3" fillId="0" borderId="0" xfId="0" applyFont="1" applyAlignment="1">
      <alignment horizontal="center"/>
    </xf>
    <xf numFmtId="0" fontId="3" fillId="0" borderId="19" xfId="0" applyFont="1" applyBorder="1" applyAlignment="1">
      <alignment horizontal="left" vertical="center" wrapText="1"/>
    </xf>
    <xf numFmtId="0" fontId="3" fillId="0" borderId="19" xfId="0" applyFont="1" applyBorder="1" applyAlignment="1">
      <alignment vertical="center" wrapText="1"/>
    </xf>
    <xf numFmtId="0" fontId="3" fillId="0" borderId="19" xfId="0" applyFont="1" applyBorder="1" applyAlignment="1">
      <alignment horizontal="justify" vertical="center" wrapText="1"/>
    </xf>
    <xf numFmtId="0" fontId="3" fillId="27" borderId="19" xfId="0" applyFont="1" applyFill="1" applyBorder="1" applyAlignment="1">
      <alignment horizontal="center" vertical="center" wrapText="1"/>
    </xf>
    <xf numFmtId="0" fontId="3" fillId="27" borderId="19" xfId="0" applyFont="1" applyFill="1" applyBorder="1" applyAlignment="1">
      <alignment vertical="center" wrapText="1"/>
    </xf>
    <xf numFmtId="0" fontId="3" fillId="0" borderId="19" xfId="0" applyFont="1" applyBorder="1" applyAlignment="1">
      <alignment vertical="top" wrapText="1"/>
    </xf>
    <xf numFmtId="0" fontId="3" fillId="0" borderId="19" xfId="0" applyFont="1" applyBorder="1" applyAlignment="1">
      <alignment horizontal="center" vertical="top" wrapText="1"/>
    </xf>
    <xf numFmtId="0" fontId="3" fillId="27" borderId="19" xfId="0" applyFont="1" applyFill="1" applyBorder="1" applyAlignment="1">
      <alignment horizontal="justify" vertical="center" wrapText="1"/>
    </xf>
    <xf numFmtId="0" fontId="48" fillId="0" borderId="19" xfId="0" applyFont="1" applyBorder="1" applyAlignment="1">
      <alignment horizontal="left" vertical="center" wrapText="1"/>
    </xf>
    <xf numFmtId="0" fontId="3" fillId="27" borderId="88" xfId="0" applyFont="1" applyFill="1" applyBorder="1" applyAlignment="1">
      <alignment vertical="center" wrapText="1"/>
    </xf>
    <xf numFmtId="0" fontId="3" fillId="0" borderId="88" xfId="0" applyFont="1" applyBorder="1" applyAlignment="1">
      <alignment vertical="center" wrapText="1"/>
    </xf>
    <xf numFmtId="0" fontId="3" fillId="0" borderId="88" xfId="0" applyFont="1" applyBorder="1" applyAlignment="1">
      <alignment horizontal="center" vertical="center" wrapText="1"/>
    </xf>
    <xf numFmtId="0" fontId="3" fillId="27" borderId="19" xfId="0" applyFont="1" applyFill="1" applyBorder="1" applyAlignment="1">
      <alignment horizontal="center" vertical="top" wrapText="1"/>
    </xf>
    <xf numFmtId="0" fontId="3" fillId="27" borderId="19" xfId="0" applyFont="1" applyFill="1" applyBorder="1" applyAlignment="1">
      <alignment vertical="top" wrapText="1"/>
    </xf>
    <xf numFmtId="0" fontId="73" fillId="27" borderId="19" xfId="0" applyFont="1" applyFill="1" applyBorder="1" applyAlignment="1">
      <alignment vertical="center" wrapText="1"/>
    </xf>
    <xf numFmtId="0" fontId="73" fillId="27" borderId="19" xfId="0" applyFont="1" applyFill="1" applyBorder="1" applyAlignment="1">
      <alignment horizontal="center" vertical="center" wrapText="1"/>
    </xf>
    <xf numFmtId="0" fontId="3" fillId="0" borderId="20" xfId="0" applyFont="1" applyBorder="1" applyAlignment="1">
      <alignment vertical="center" wrapText="1"/>
    </xf>
    <xf numFmtId="0" fontId="3" fillId="28" borderId="19" xfId="0" applyFont="1" applyFill="1" applyBorder="1" applyAlignment="1">
      <alignment horizontal="left" vertical="center" wrapText="1"/>
    </xf>
    <xf numFmtId="0" fontId="69" fillId="27" borderId="19" xfId="0" applyFont="1" applyFill="1" applyBorder="1" applyAlignment="1">
      <alignment horizontal="center" vertical="center" wrapText="1"/>
    </xf>
    <xf numFmtId="0" fontId="69" fillId="27" borderId="19" xfId="0" applyFont="1" applyFill="1" applyBorder="1" applyAlignment="1">
      <alignment horizontal="center" vertical="center"/>
    </xf>
    <xf numFmtId="0" fontId="69" fillId="27" borderId="19" xfId="0" applyFont="1" applyFill="1" applyBorder="1" applyAlignment="1">
      <alignment horizontal="left" vertical="center" wrapText="1" indent="9"/>
    </xf>
    <xf numFmtId="0" fontId="69" fillId="27" borderId="19" xfId="0" applyFont="1" applyFill="1" applyBorder="1" applyAlignment="1">
      <alignment horizontal="left" vertical="center" wrapText="1" indent="5"/>
    </xf>
    <xf numFmtId="0" fontId="6" fillId="0" borderId="19" xfId="0" applyFont="1" applyBorder="1" applyAlignment="1">
      <alignment vertical="center" wrapText="1"/>
    </xf>
    <xf numFmtId="0" fontId="6" fillId="0" borderId="19" xfId="0" applyFont="1" applyBorder="1" applyAlignment="1">
      <alignment vertical="center"/>
    </xf>
    <xf numFmtId="0" fontId="6" fillId="0" borderId="19" xfId="0" applyFont="1" applyBorder="1" applyAlignment="1">
      <alignment wrapText="1"/>
    </xf>
    <xf numFmtId="0" fontId="6" fillId="0" borderId="20"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xf>
    <xf numFmtId="0" fontId="6" fillId="0" borderId="20" xfId="0" applyFont="1" applyBorder="1" applyAlignment="1" applyProtection="1">
      <alignment horizontal="center" vertical="center"/>
      <protection hidden="1"/>
    </xf>
    <xf numFmtId="0" fontId="6" fillId="0" borderId="20" xfId="0" applyFont="1" applyBorder="1" applyAlignment="1" applyProtection="1">
      <alignment horizontal="center" vertical="center" textRotation="90"/>
      <protection locked="0"/>
    </xf>
    <xf numFmtId="9" fontId="6" fillId="0" borderId="20" xfId="0" applyNumberFormat="1" applyFont="1" applyBorder="1" applyAlignment="1" applyProtection="1">
      <alignment horizontal="center" vertical="center"/>
      <protection hidden="1"/>
    </xf>
    <xf numFmtId="164" fontId="6" fillId="0" borderId="20" xfId="1" applyNumberFormat="1" applyFont="1" applyBorder="1" applyAlignment="1">
      <alignment horizontal="center" vertical="center"/>
    </xf>
    <xf numFmtId="0" fontId="58" fillId="0" borderId="20" xfId="0" applyFont="1" applyFill="1" applyBorder="1" applyAlignment="1" applyProtection="1">
      <alignment horizontal="center" vertical="center" textRotation="90" wrapText="1"/>
      <protection hidden="1"/>
    </xf>
    <xf numFmtId="0" fontId="58" fillId="0" borderId="20" xfId="0" applyFont="1" applyBorder="1" applyAlignment="1" applyProtection="1">
      <alignment horizontal="center" vertical="center" textRotation="90"/>
      <protection hidden="1"/>
    </xf>
    <xf numFmtId="0" fontId="6" fillId="0" borderId="20" xfId="0" applyFont="1" applyBorder="1" applyAlignment="1" applyProtection="1">
      <alignment horizontal="center" vertical="center"/>
      <protection locked="0"/>
    </xf>
    <xf numFmtId="14" fontId="6" fillId="0" borderId="20" xfId="0" applyNumberFormat="1" applyFont="1" applyBorder="1" applyAlignment="1" applyProtection="1">
      <alignment horizontal="center" vertical="center"/>
      <protection locked="0"/>
    </xf>
    <xf numFmtId="0" fontId="58" fillId="3" borderId="0" xfId="0" applyFont="1" applyFill="1" applyBorder="1" applyAlignment="1">
      <alignment horizontal="center" vertical="center"/>
    </xf>
    <xf numFmtId="0" fontId="69"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6" fillId="3" borderId="0" xfId="0" applyFont="1" applyFill="1" applyBorder="1" applyAlignment="1">
      <alignment horizontal="center" wrapText="1"/>
    </xf>
    <xf numFmtId="0" fontId="6" fillId="3" borderId="0" xfId="0" applyFont="1" applyFill="1" applyBorder="1"/>
    <xf numFmtId="0" fontId="61" fillId="3" borderId="0" xfId="0" applyFont="1" applyFill="1" applyBorder="1"/>
    <xf numFmtId="0" fontId="61" fillId="3" borderId="0" xfId="0" applyFont="1" applyFill="1" applyBorder="1" applyAlignment="1">
      <alignment horizontal="center" vertical="center" wrapText="1"/>
    </xf>
    <xf numFmtId="0" fontId="59" fillId="3" borderId="0" xfId="0" applyFont="1" applyFill="1" applyBorder="1" applyAlignment="1">
      <alignment horizontal="center" vertical="center" wrapText="1"/>
    </xf>
    <xf numFmtId="0" fontId="6" fillId="0" borderId="19" xfId="0" applyFont="1" applyBorder="1" applyAlignment="1" applyProtection="1">
      <alignment vertical="center" wrapText="1"/>
      <protection locked="0"/>
    </xf>
    <xf numFmtId="0" fontId="6" fillId="0" borderId="67" xfId="0" applyFont="1" applyBorder="1" applyAlignment="1" applyProtection="1">
      <alignment vertical="center" wrapText="1"/>
      <protection locked="0"/>
    </xf>
    <xf numFmtId="0" fontId="6" fillId="0" borderId="64" xfId="0" applyFont="1" applyBorder="1" applyAlignment="1" applyProtection="1">
      <alignment vertical="center" wrapText="1"/>
      <protection locked="0"/>
    </xf>
    <xf numFmtId="0" fontId="3" fillId="0" borderId="89" xfId="0" applyFont="1" applyBorder="1" applyAlignment="1">
      <alignment horizontal="left" vertical="center" wrapText="1"/>
    </xf>
    <xf numFmtId="0" fontId="6" fillId="0" borderId="0" xfId="0" applyFont="1" applyBorder="1"/>
    <xf numFmtId="0" fontId="6" fillId="0" borderId="0" xfId="0" applyFont="1" applyBorder="1" applyAlignment="1">
      <alignment horizontal="center"/>
    </xf>
    <xf numFmtId="0" fontId="0" fillId="0" borderId="0" xfId="0" applyBorder="1"/>
    <xf numFmtId="0" fontId="48" fillId="0" borderId="0" xfId="0" applyFont="1" applyBorder="1" applyAlignment="1">
      <alignment horizontal="center"/>
    </xf>
    <xf numFmtId="0" fontId="6" fillId="0" borderId="67" xfId="0" applyFont="1" applyBorder="1" applyAlignment="1" applyProtection="1">
      <alignment horizontal="justify" vertical="center" wrapText="1"/>
      <protection locked="0"/>
    </xf>
    <xf numFmtId="0" fontId="6" fillId="0" borderId="62" xfId="0" applyFont="1" applyBorder="1" applyAlignment="1" applyProtection="1">
      <alignment vertical="center" wrapText="1"/>
      <protection locked="0"/>
    </xf>
    <xf numFmtId="0" fontId="6" fillId="0" borderId="64" xfId="0" applyFont="1" applyBorder="1" applyAlignment="1" applyProtection="1">
      <alignment horizontal="justify" vertical="center" wrapText="1"/>
      <protection locked="0"/>
    </xf>
    <xf numFmtId="0" fontId="52" fillId="19" borderId="88" xfId="0" applyFont="1" applyFill="1" applyBorder="1" applyAlignment="1" applyProtection="1">
      <alignment horizontal="center" vertical="center" wrapText="1"/>
      <protection locked="0"/>
    </xf>
    <xf numFmtId="0" fontId="52" fillId="19" borderId="62" xfId="0" applyFont="1" applyFill="1" applyBorder="1" applyAlignment="1" applyProtection="1">
      <alignment horizontal="center" vertical="center" wrapText="1"/>
      <protection locked="0"/>
    </xf>
    <xf numFmtId="0" fontId="52" fillId="19" borderId="20" xfId="0" applyFont="1" applyFill="1" applyBorder="1" applyAlignment="1" applyProtection="1">
      <alignment horizontal="center" vertical="center" wrapText="1"/>
      <protection locked="0"/>
    </xf>
    <xf numFmtId="0" fontId="52" fillId="19" borderId="67" xfId="0" applyFont="1" applyFill="1" applyBorder="1" applyAlignment="1" applyProtection="1">
      <alignment horizontal="center" vertical="center" wrapText="1"/>
      <protection locked="0"/>
    </xf>
    <xf numFmtId="0" fontId="52" fillId="19" borderId="88" xfId="0" applyFont="1" applyFill="1" applyBorder="1" applyAlignment="1">
      <alignment horizontal="center" vertical="center" wrapText="1"/>
    </xf>
    <xf numFmtId="0" fontId="52" fillId="19" borderId="62" xfId="0" applyFont="1" applyFill="1" applyBorder="1" applyAlignment="1">
      <alignment horizontal="center" vertical="center" wrapText="1"/>
    </xf>
    <xf numFmtId="0" fontId="52" fillId="19" borderId="20" xfId="0" applyFont="1" applyFill="1" applyBorder="1" applyAlignment="1">
      <alignment horizontal="center" vertical="center" wrapText="1"/>
    </xf>
    <xf numFmtId="0" fontId="52" fillId="19" borderId="88" xfId="8" applyFont="1" applyFill="1" applyBorder="1" applyAlignment="1">
      <alignment horizontal="center" vertical="center" wrapText="1"/>
    </xf>
    <xf numFmtId="0" fontId="52" fillId="19" borderId="20" xfId="8" applyFont="1" applyFill="1" applyBorder="1" applyAlignment="1">
      <alignment horizontal="center" vertical="center" wrapText="1"/>
    </xf>
    <xf numFmtId="0" fontId="52" fillId="19" borderId="91" xfId="0" applyFont="1" applyFill="1" applyBorder="1" applyAlignment="1" applyProtection="1">
      <alignment horizontal="center" vertical="center" wrapText="1"/>
      <protection locked="0"/>
    </xf>
    <xf numFmtId="0" fontId="52" fillId="19" borderId="90" xfId="0" applyFont="1" applyFill="1" applyBorder="1" applyAlignment="1" applyProtection="1">
      <alignment horizontal="center" vertical="center" wrapText="1"/>
      <protection locked="0"/>
    </xf>
    <xf numFmtId="0" fontId="52" fillId="19" borderId="87" xfId="0" applyFont="1" applyFill="1" applyBorder="1" applyAlignment="1" applyProtection="1">
      <alignment horizontal="center" vertical="center" wrapText="1"/>
      <protection locked="0"/>
    </xf>
    <xf numFmtId="0" fontId="52" fillId="19" borderId="86" xfId="0" applyFont="1" applyFill="1" applyBorder="1" applyAlignment="1" applyProtection="1">
      <alignment horizontal="center" vertical="center" wrapText="1"/>
      <protection locked="0"/>
    </xf>
    <xf numFmtId="0" fontId="52" fillId="21" borderId="67" xfId="0" applyFont="1" applyFill="1" applyBorder="1" applyAlignment="1" applyProtection="1">
      <alignment horizontal="center" vertical="center" textRotation="90" wrapText="1"/>
      <protection locked="0"/>
    </xf>
    <xf numFmtId="0" fontId="52" fillId="21" borderId="62" xfId="0" applyFont="1" applyFill="1" applyBorder="1" applyAlignment="1" applyProtection="1">
      <alignment horizontal="center" vertical="center" textRotation="90" wrapText="1"/>
      <protection locked="0"/>
    </xf>
    <xf numFmtId="0" fontId="52" fillId="21" borderId="20" xfId="0" applyFont="1" applyFill="1" applyBorder="1" applyAlignment="1" applyProtection="1">
      <alignment horizontal="center" vertical="center" textRotation="90" wrapText="1"/>
      <protection locked="0"/>
    </xf>
    <xf numFmtId="0" fontId="52" fillId="19" borderId="67" xfId="0" applyFont="1" applyFill="1" applyBorder="1" applyAlignment="1">
      <alignment horizontal="center" vertical="center" wrapText="1"/>
    </xf>
    <xf numFmtId="0" fontId="52" fillId="19" borderId="19" xfId="0" applyFont="1" applyFill="1" applyBorder="1" applyAlignment="1" applyProtection="1">
      <alignment horizontal="center" vertical="center" wrapText="1"/>
      <protection locked="0"/>
    </xf>
    <xf numFmtId="0" fontId="52" fillId="19" borderId="78" xfId="0" applyFont="1" applyFill="1" applyBorder="1" applyAlignment="1" applyProtection="1">
      <alignment horizontal="center" vertical="center" wrapText="1"/>
      <protection locked="0"/>
    </xf>
    <xf numFmtId="0" fontId="52" fillId="19" borderId="77" xfId="0" applyFont="1" applyFill="1" applyBorder="1" applyAlignment="1" applyProtection="1">
      <alignment horizontal="center" vertical="center" wrapText="1"/>
      <protection locked="0"/>
    </xf>
    <xf numFmtId="0" fontId="52" fillId="19" borderId="93" xfId="0" applyFont="1" applyFill="1" applyBorder="1" applyAlignment="1">
      <alignment horizontal="center" vertical="center" wrapText="1"/>
    </xf>
    <xf numFmtId="0" fontId="52" fillId="19" borderId="35" xfId="0" applyFont="1" applyFill="1" applyBorder="1" applyAlignment="1">
      <alignment horizontal="center" vertical="center" wrapText="1"/>
    </xf>
    <xf numFmtId="0" fontId="52" fillId="19" borderId="92" xfId="0" applyFont="1" applyFill="1" applyBorder="1" applyAlignment="1">
      <alignment horizontal="center" vertical="center" wrapText="1"/>
    </xf>
    <xf numFmtId="0" fontId="52" fillId="19" borderId="61" xfId="0" applyFont="1" applyFill="1" applyBorder="1" applyAlignment="1">
      <alignment horizontal="center" vertical="center" wrapText="1"/>
    </xf>
    <xf numFmtId="0" fontId="52" fillId="19" borderId="89" xfId="0" applyFont="1" applyFill="1" applyBorder="1" applyAlignment="1">
      <alignment horizontal="center" vertical="center" wrapText="1"/>
    </xf>
    <xf numFmtId="0" fontId="66" fillId="0" borderId="69" xfId="7" applyFont="1" applyFill="1" applyBorder="1" applyAlignment="1" applyProtection="1">
      <alignment horizontal="center" vertical="center" wrapText="1"/>
    </xf>
    <xf numFmtId="0" fontId="66" fillId="0" borderId="92" xfId="7" applyFont="1" applyFill="1" applyBorder="1" applyAlignment="1" applyProtection="1">
      <alignment horizontal="center" vertical="center" wrapText="1"/>
    </xf>
    <xf numFmtId="0" fontId="66" fillId="0" borderId="68" xfId="7" applyFont="1" applyFill="1" applyBorder="1" applyAlignment="1" applyProtection="1">
      <alignment horizontal="center" vertical="center" wrapText="1"/>
    </xf>
    <xf numFmtId="0" fontId="66" fillId="0" borderId="93" xfId="7" applyFont="1" applyFill="1" applyBorder="1" applyAlignment="1" applyProtection="1">
      <alignment horizontal="center" vertical="center" wrapText="1"/>
    </xf>
    <xf numFmtId="0" fontId="66" fillId="0" borderId="73" xfId="7" applyFont="1" applyFill="1" applyBorder="1" applyAlignment="1" applyProtection="1">
      <alignment horizontal="center" vertical="center" wrapText="1"/>
    </xf>
    <xf numFmtId="0" fontId="66" fillId="0" borderId="25" xfId="7" applyFont="1" applyFill="1" applyBorder="1" applyAlignment="1" applyProtection="1">
      <alignment horizontal="center" vertical="center" wrapText="1"/>
    </xf>
    <xf numFmtId="0" fontId="66" fillId="0" borderId="95" xfId="7" applyFont="1" applyFill="1" applyBorder="1" applyAlignment="1" applyProtection="1">
      <alignment horizontal="center" vertical="center" wrapText="1"/>
    </xf>
    <xf numFmtId="0" fontId="66" fillId="0" borderId="26" xfId="7" applyFont="1" applyFill="1" applyBorder="1" applyAlignment="1" applyProtection="1">
      <alignment horizontal="center" vertical="center" wrapText="1"/>
    </xf>
    <xf numFmtId="0" fontId="66" fillId="0" borderId="94" xfId="7" applyFont="1" applyFill="1" applyBorder="1" applyAlignment="1" applyProtection="1">
      <alignment horizontal="center" vertical="center" wrapText="1"/>
    </xf>
    <xf numFmtId="0" fontId="66" fillId="0" borderId="27" xfId="7" applyFont="1" applyFill="1" applyBorder="1" applyAlignment="1" applyProtection="1">
      <alignment horizontal="center" vertical="center" wrapText="1"/>
    </xf>
    <xf numFmtId="0" fontId="67" fillId="21" borderId="21" xfId="0" applyFont="1" applyFill="1" applyBorder="1" applyAlignment="1">
      <alignment horizontal="center" vertical="center" wrapText="1"/>
    </xf>
    <xf numFmtId="0" fontId="67" fillId="21" borderId="22" xfId="0" applyFont="1" applyFill="1" applyBorder="1" applyAlignment="1">
      <alignment horizontal="center" vertical="center" wrapText="1"/>
    </xf>
    <xf numFmtId="0" fontId="67" fillId="21" borderId="33" xfId="0" applyFont="1" applyFill="1" applyBorder="1" applyAlignment="1">
      <alignment horizontal="center" vertical="center" wrapText="1"/>
    </xf>
    <xf numFmtId="0" fontId="64" fillId="0" borderId="69" xfId="7" applyFont="1" applyFill="1" applyBorder="1" applyAlignment="1" applyProtection="1">
      <alignment horizontal="center" vertical="center" wrapText="1"/>
    </xf>
    <xf numFmtId="0" fontId="64" fillId="0" borderId="68" xfId="7" applyFont="1" applyFill="1" applyBorder="1" applyAlignment="1" applyProtection="1">
      <alignment horizontal="center" vertical="center" wrapText="1"/>
    </xf>
    <xf numFmtId="0" fontId="64" fillId="0" borderId="73" xfId="7" applyFont="1" applyFill="1" applyBorder="1" applyAlignment="1" applyProtection="1">
      <alignment horizontal="center" vertical="center" wrapText="1"/>
    </xf>
    <xf numFmtId="0" fontId="64" fillId="0" borderId="25" xfId="7" applyFont="1" applyFill="1" applyBorder="1" applyAlignment="1" applyProtection="1">
      <alignment horizontal="center" vertical="center" wrapText="1"/>
    </xf>
    <xf numFmtId="0" fontId="64" fillId="0" borderId="26" xfId="7" applyFont="1" applyFill="1" applyBorder="1" applyAlignment="1" applyProtection="1">
      <alignment horizontal="center" vertical="center" wrapText="1"/>
    </xf>
    <xf numFmtId="0" fontId="64" fillId="0" borderId="27" xfId="7" applyFont="1" applyFill="1" applyBorder="1" applyAlignment="1" applyProtection="1">
      <alignment horizontal="center" vertical="center" wrapText="1"/>
    </xf>
    <xf numFmtId="0" fontId="52" fillId="19" borderId="93" xfId="8" applyFont="1" applyFill="1" applyBorder="1" applyAlignment="1">
      <alignment horizontal="center" vertical="center" wrapText="1"/>
    </xf>
    <xf numFmtId="0" fontId="52" fillId="19" borderId="92" xfId="8" applyFont="1" applyFill="1" applyBorder="1" applyAlignment="1">
      <alignment horizontal="center" vertical="center" wrapText="1"/>
    </xf>
    <xf numFmtId="0" fontId="52" fillId="19" borderId="35" xfId="8" applyFont="1" applyFill="1" applyBorder="1" applyAlignment="1">
      <alignment horizontal="center" vertical="center" wrapText="1"/>
    </xf>
    <xf numFmtId="0" fontId="66" fillId="19" borderId="21" xfId="0" applyFont="1" applyFill="1" applyBorder="1" applyAlignment="1">
      <alignment horizontal="center" vertical="center"/>
    </xf>
    <xf numFmtId="0" fontId="66" fillId="19" borderId="22" xfId="0" applyFont="1" applyFill="1" applyBorder="1" applyAlignment="1">
      <alignment horizontal="center" vertical="center"/>
    </xf>
    <xf numFmtId="0" fontId="66" fillId="19" borderId="33" xfId="0" applyFont="1" applyFill="1" applyBorder="1" applyAlignment="1">
      <alignment horizontal="center" vertical="center"/>
    </xf>
    <xf numFmtId="0" fontId="62" fillId="0" borderId="30" xfId="7" applyFont="1" applyFill="1" applyBorder="1" applyAlignment="1" applyProtection="1">
      <alignment horizontal="center" vertical="center" wrapText="1"/>
    </xf>
    <xf numFmtId="0" fontId="62" fillId="0" borderId="74" xfId="7" applyFont="1" applyFill="1" applyBorder="1" applyAlignment="1" applyProtection="1">
      <alignment horizontal="center" vertical="center" wrapText="1"/>
    </xf>
    <xf numFmtId="0" fontId="62" fillId="0" borderId="31" xfId="7" applyFont="1" applyFill="1" applyBorder="1" applyAlignment="1" applyProtection="1">
      <alignment horizontal="center" vertical="center" wrapText="1"/>
    </xf>
    <xf numFmtId="0" fontId="62" fillId="0" borderId="75" xfId="7" applyFont="1" applyFill="1" applyBorder="1" applyAlignment="1" applyProtection="1">
      <alignment horizontal="center" vertical="center" wrapText="1"/>
    </xf>
    <xf numFmtId="0" fontId="62" fillId="0" borderId="21" xfId="7" applyFont="1" applyFill="1" applyBorder="1" applyAlignment="1" applyProtection="1">
      <alignment horizontal="center" vertical="center" wrapText="1"/>
    </xf>
    <xf numFmtId="0" fontId="62" fillId="0" borderId="22" xfId="7" applyFont="1" applyFill="1" applyBorder="1" applyAlignment="1" applyProtection="1">
      <alignment horizontal="center" vertical="center" wrapText="1"/>
    </xf>
    <xf numFmtId="0" fontId="62" fillId="0" borderId="10" xfId="7" applyFont="1" applyFill="1" applyBorder="1" applyAlignment="1" applyProtection="1">
      <alignment horizontal="center" vertical="center" wrapText="1"/>
    </xf>
    <xf numFmtId="0" fontId="62" fillId="0" borderId="33" xfId="7" applyFont="1" applyFill="1" applyBorder="1" applyAlignment="1" applyProtection="1">
      <alignment horizontal="center" vertical="center" wrapText="1"/>
    </xf>
    <xf numFmtId="0" fontId="62" fillId="25" borderId="74" xfId="6" applyFont="1" applyFill="1" applyBorder="1" applyAlignment="1">
      <alignment horizontal="center" vertical="center"/>
    </xf>
    <xf numFmtId="0" fontId="62" fillId="25" borderId="31" xfId="6" applyFont="1" applyFill="1" applyBorder="1" applyAlignment="1">
      <alignment horizontal="center" vertical="center"/>
    </xf>
    <xf numFmtId="0" fontId="62" fillId="25" borderId="32" xfId="6" applyFont="1" applyFill="1" applyBorder="1" applyAlignment="1">
      <alignment horizontal="center" vertical="center"/>
    </xf>
    <xf numFmtId="0" fontId="58" fillId="0" borderId="68" xfId="0" applyFont="1" applyFill="1" applyBorder="1" applyAlignment="1" applyProtection="1">
      <alignment horizontal="center" vertical="center" wrapText="1"/>
      <protection hidden="1"/>
    </xf>
    <xf numFmtId="0" fontId="58" fillId="0" borderId="19" xfId="0" applyFont="1" applyFill="1" applyBorder="1" applyAlignment="1" applyProtection="1">
      <alignment horizontal="center" vertical="center" wrapText="1"/>
      <protection hidden="1"/>
    </xf>
    <xf numFmtId="0" fontId="58" fillId="0" borderId="26" xfId="0" applyFont="1" applyFill="1" applyBorder="1" applyAlignment="1" applyProtection="1">
      <alignment horizontal="center" vertical="center" wrapText="1"/>
      <protection hidden="1"/>
    </xf>
    <xf numFmtId="0" fontId="6" fillId="0" borderId="67"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66"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0" fontId="51" fillId="19" borderId="72" xfId="0" applyFont="1" applyFill="1" applyBorder="1" applyAlignment="1">
      <alignment horizontal="center" vertical="center" wrapText="1"/>
    </xf>
    <xf numFmtId="0" fontId="51" fillId="19" borderId="71" xfId="0" applyFont="1" applyFill="1" applyBorder="1" applyAlignment="1">
      <alignment horizontal="center" vertical="center" wrapText="1"/>
    </xf>
    <xf numFmtId="0" fontId="51" fillId="19" borderId="70" xfId="0" applyFont="1" applyFill="1" applyBorder="1" applyAlignment="1">
      <alignment horizontal="center" vertical="center" wrapText="1"/>
    </xf>
    <xf numFmtId="0" fontId="60" fillId="19" borderId="72" xfId="6" applyFont="1" applyFill="1" applyBorder="1" applyAlignment="1">
      <alignment horizontal="center" vertical="center" wrapText="1"/>
    </xf>
    <xf numFmtId="0" fontId="60" fillId="19" borderId="71" xfId="6" applyFont="1" applyFill="1" applyBorder="1" applyAlignment="1">
      <alignment horizontal="center" vertical="center" wrapText="1"/>
    </xf>
    <xf numFmtId="0" fontId="60" fillId="19" borderId="70" xfId="6" applyFont="1" applyFill="1" applyBorder="1" applyAlignment="1">
      <alignment horizontal="center" vertical="center" wrapText="1"/>
    </xf>
    <xf numFmtId="0" fontId="59" fillId="3" borderId="67" xfId="0" applyFont="1" applyFill="1" applyBorder="1" applyAlignment="1">
      <alignment horizontal="center" vertical="center" wrapText="1"/>
    </xf>
    <xf numFmtId="0" fontId="59" fillId="3" borderId="62" xfId="0" applyFont="1" applyFill="1" applyBorder="1" applyAlignment="1">
      <alignment horizontal="center" vertical="center" wrapText="1"/>
    </xf>
    <xf numFmtId="0" fontId="59" fillId="3" borderId="64" xfId="0" applyFont="1" applyFill="1" applyBorder="1" applyAlignment="1">
      <alignment horizontal="center" vertical="center" wrapText="1"/>
    </xf>
    <xf numFmtId="0" fontId="48" fillId="0" borderId="20" xfId="0" applyFont="1" applyBorder="1" applyAlignment="1" applyProtection="1">
      <alignment horizontal="center" vertical="center" wrapText="1"/>
      <protection locked="0"/>
    </xf>
    <xf numFmtId="0" fontId="48" fillId="0" borderId="19" xfId="0" applyFont="1" applyBorder="1" applyAlignment="1" applyProtection="1">
      <alignment horizontal="center" vertical="center" wrapText="1"/>
      <protection locked="0"/>
    </xf>
    <xf numFmtId="0" fontId="48" fillId="0" borderId="26" xfId="0" applyFont="1" applyBorder="1" applyAlignment="1" applyProtection="1">
      <alignment horizontal="center" vertical="center" wrapText="1"/>
      <protection locked="0"/>
    </xf>
    <xf numFmtId="0" fontId="48" fillId="0" borderId="67" xfId="0" applyFont="1" applyBorder="1" applyAlignment="1" applyProtection="1">
      <alignment horizontal="center" vertical="center" wrapText="1"/>
      <protection locked="0"/>
    </xf>
    <xf numFmtId="0" fontId="48" fillId="0" borderId="62" xfId="0" applyFont="1" applyBorder="1" applyAlignment="1" applyProtection="1">
      <alignment horizontal="center" vertical="center" wrapText="1"/>
      <protection locked="0"/>
    </xf>
    <xf numFmtId="0" fontId="48" fillId="0" borderId="64" xfId="0" applyFont="1" applyBorder="1" applyAlignment="1" applyProtection="1">
      <alignment horizontal="center" vertical="center" wrapText="1"/>
      <protection locked="0"/>
    </xf>
    <xf numFmtId="14" fontId="6" fillId="0" borderId="67" xfId="0" applyNumberFormat="1" applyFont="1" applyBorder="1" applyAlignment="1" applyProtection="1">
      <alignment horizontal="center" vertical="center" wrapText="1"/>
      <protection locked="0"/>
    </xf>
    <xf numFmtId="0" fontId="48" fillId="0" borderId="68" xfId="0" applyFont="1" applyBorder="1" applyAlignment="1" applyProtection="1">
      <alignment horizontal="center" vertical="center" wrapText="1"/>
      <protection locked="0"/>
    </xf>
    <xf numFmtId="0" fontId="66" fillId="0" borderId="3" xfId="7" applyFont="1" applyFill="1" applyBorder="1" applyAlignment="1" applyProtection="1">
      <alignment horizontal="center" vertical="center" wrapText="1"/>
    </xf>
    <xf numFmtId="0" fontId="66" fillId="0" borderId="10" xfId="7" applyFont="1" applyFill="1" applyBorder="1" applyAlignment="1" applyProtection="1">
      <alignment horizontal="center" vertical="center" wrapText="1"/>
    </xf>
    <xf numFmtId="0" fontId="66" fillId="0" borderId="4" xfId="7" applyFont="1" applyFill="1" applyBorder="1" applyAlignment="1" applyProtection="1">
      <alignment horizontal="center" vertical="center" wrapText="1"/>
    </xf>
    <xf numFmtId="0" fontId="66" fillId="0" borderId="7" xfId="7" applyFont="1" applyFill="1" applyBorder="1" applyAlignment="1" applyProtection="1">
      <alignment horizontal="center" vertical="center" wrapText="1"/>
    </xf>
    <xf numFmtId="0" fontId="66" fillId="0" borderId="9" xfId="7" applyFont="1" applyFill="1" applyBorder="1" applyAlignment="1" applyProtection="1">
      <alignment horizontal="center" vertical="center" wrapText="1"/>
    </xf>
    <xf numFmtId="0" fontId="66" fillId="0" borderId="8" xfId="7" applyFont="1" applyFill="1" applyBorder="1" applyAlignment="1" applyProtection="1">
      <alignment horizontal="center" vertical="center" wrapText="1"/>
    </xf>
    <xf numFmtId="0" fontId="6" fillId="0" borderId="69"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5" xfId="0" applyFont="1" applyBorder="1" applyAlignment="1" applyProtection="1">
      <alignment horizontal="center" vertical="center"/>
    </xf>
    <xf numFmtId="0" fontId="59" fillId="3" borderId="77" xfId="0" applyFont="1" applyFill="1" applyBorder="1" applyAlignment="1">
      <alignment horizontal="center" vertical="center" wrapText="1"/>
    </xf>
    <xf numFmtId="0" fontId="59" fillId="3" borderId="76" xfId="0" applyFont="1" applyFill="1" applyBorder="1" applyAlignment="1">
      <alignment horizontal="center" vertical="center" wrapText="1"/>
    </xf>
    <xf numFmtId="9" fontId="6" fillId="0" borderId="68" xfId="0" applyNumberFormat="1" applyFont="1" applyBorder="1" applyAlignment="1" applyProtection="1">
      <alignment horizontal="center" vertical="center" wrapText="1"/>
      <protection locked="0"/>
    </xf>
    <xf numFmtId="9" fontId="6" fillId="0" borderId="19" xfId="0" applyNumberFormat="1" applyFont="1" applyBorder="1" applyAlignment="1" applyProtection="1">
      <alignment horizontal="center" vertical="center" wrapText="1"/>
      <protection locked="0"/>
    </xf>
    <xf numFmtId="9" fontId="6" fillId="0" borderId="26" xfId="0" applyNumberFormat="1" applyFont="1" applyBorder="1" applyAlignment="1" applyProtection="1">
      <alignment horizontal="center" vertical="center" wrapText="1"/>
      <protection locked="0"/>
    </xf>
    <xf numFmtId="9" fontId="6" fillId="0" borderId="68" xfId="0" applyNumberFormat="1" applyFont="1" applyBorder="1" applyAlignment="1" applyProtection="1">
      <alignment horizontal="center" vertical="center" wrapText="1"/>
      <protection hidden="1"/>
    </xf>
    <xf numFmtId="9" fontId="6" fillId="0" borderId="19" xfId="0" applyNumberFormat="1" applyFont="1" applyBorder="1" applyAlignment="1" applyProtection="1">
      <alignment horizontal="center" vertical="center" wrapText="1"/>
      <protection hidden="1"/>
    </xf>
    <xf numFmtId="9" fontId="6" fillId="0" borderId="26" xfId="0" applyNumberFormat="1" applyFont="1" applyBorder="1" applyAlignment="1" applyProtection="1">
      <alignment horizontal="center" vertical="center" wrapText="1"/>
      <protection hidden="1"/>
    </xf>
    <xf numFmtId="0" fontId="65" fillId="19" borderId="22" xfId="0" applyFont="1" applyFill="1" applyBorder="1" applyAlignment="1">
      <alignment horizontal="center" vertical="center"/>
    </xf>
    <xf numFmtId="0" fontId="65" fillId="19" borderId="33" xfId="0" applyFont="1" applyFill="1" applyBorder="1" applyAlignment="1">
      <alignment horizontal="center" vertical="center"/>
    </xf>
    <xf numFmtId="14" fontId="6" fillId="0" borderId="62" xfId="0" applyNumberFormat="1" applyFont="1" applyBorder="1" applyAlignment="1" applyProtection="1">
      <alignment horizontal="center" vertical="center" wrapText="1"/>
      <protection locked="0"/>
    </xf>
    <xf numFmtId="0" fontId="6" fillId="0" borderId="67" xfId="0" applyFont="1" applyBorder="1" applyAlignment="1" applyProtection="1">
      <alignment horizontal="center" vertical="center" textRotation="90"/>
      <protection locked="0"/>
    </xf>
    <xf numFmtId="0" fontId="6" fillId="0" borderId="62" xfId="0" applyFont="1" applyBorder="1" applyAlignment="1" applyProtection="1">
      <alignment horizontal="center" vertical="center" textRotation="90"/>
      <protection locked="0"/>
    </xf>
    <xf numFmtId="0" fontId="6" fillId="0" borderId="64" xfId="0" applyFont="1" applyBorder="1" applyAlignment="1" applyProtection="1">
      <alignment horizontal="center" vertical="center" textRotation="90"/>
      <protection locked="0"/>
    </xf>
    <xf numFmtId="0" fontId="60" fillId="20" borderId="72" xfId="6" applyFont="1" applyFill="1" applyBorder="1" applyAlignment="1">
      <alignment horizontal="center" vertical="center" wrapText="1"/>
    </xf>
    <xf numFmtId="0" fontId="60" fillId="20" borderId="71" xfId="6" applyFont="1" applyFill="1" applyBorder="1" applyAlignment="1">
      <alignment horizontal="center" vertical="center" wrapText="1"/>
    </xf>
    <xf numFmtId="0" fontId="60" fillId="20" borderId="6" xfId="6" applyFont="1" applyFill="1" applyBorder="1" applyAlignment="1">
      <alignment horizontal="center" vertical="center" wrapText="1"/>
    </xf>
    <xf numFmtId="0" fontId="60" fillId="19" borderId="5" xfId="6" applyFont="1" applyFill="1" applyBorder="1" applyAlignment="1">
      <alignment horizontal="center" vertical="center" wrapText="1"/>
    </xf>
    <xf numFmtId="0" fontId="60" fillId="15" borderId="72" xfId="6" applyFont="1" applyFill="1" applyBorder="1" applyAlignment="1">
      <alignment horizontal="center" vertical="center" wrapText="1"/>
    </xf>
    <xf numFmtId="0" fontId="60" fillId="15" borderId="71" xfId="6" applyFont="1" applyFill="1" applyBorder="1" applyAlignment="1">
      <alignment horizontal="center" vertical="center" wrapText="1"/>
    </xf>
    <xf numFmtId="0" fontId="58" fillId="0" borderId="68" xfId="0" applyFont="1" applyBorder="1" applyAlignment="1" applyProtection="1">
      <alignment horizontal="center" vertical="center"/>
      <protection hidden="1"/>
    </xf>
    <xf numFmtId="0" fontId="58" fillId="0" borderId="19" xfId="0" applyFont="1" applyBorder="1" applyAlignment="1" applyProtection="1">
      <alignment horizontal="center" vertical="center"/>
      <protection hidden="1"/>
    </xf>
    <xf numFmtId="0" fontId="58" fillId="0" borderId="26" xfId="0" applyFont="1" applyBorder="1" applyAlignment="1" applyProtection="1">
      <alignment horizontal="center" vertical="center"/>
      <protection hidden="1"/>
    </xf>
    <xf numFmtId="0" fontId="6" fillId="0" borderId="6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59" fillId="3" borderId="78" xfId="0" applyFont="1" applyFill="1" applyBorder="1" applyAlignment="1">
      <alignment horizontal="center" vertical="center" wrapText="1"/>
    </xf>
    <xf numFmtId="0" fontId="6" fillId="0" borderId="28" xfId="0" applyFont="1" applyBorder="1" applyAlignment="1" applyProtection="1">
      <alignment horizontal="center" vertical="center"/>
    </xf>
    <xf numFmtId="0" fontId="59" fillId="21" borderId="3" xfId="6" applyFont="1" applyFill="1" applyBorder="1" applyAlignment="1">
      <alignment horizontal="center" vertical="center" wrapText="1"/>
    </xf>
    <xf numFmtId="0" fontId="59" fillId="21" borderId="10" xfId="6" applyFont="1" applyFill="1" applyBorder="1" applyAlignment="1">
      <alignment horizontal="center" vertical="center" wrapText="1"/>
    </xf>
    <xf numFmtId="0" fontId="59" fillId="21" borderId="4" xfId="6" applyFont="1" applyFill="1" applyBorder="1" applyAlignment="1">
      <alignment horizontal="center" vertical="center" wrapText="1"/>
    </xf>
    <xf numFmtId="0" fontId="59" fillId="21" borderId="7" xfId="6" applyFont="1" applyFill="1" applyBorder="1" applyAlignment="1">
      <alignment horizontal="center" vertical="center" wrapText="1"/>
    </xf>
    <xf numFmtId="0" fontId="59" fillId="21" borderId="9" xfId="6" applyFont="1" applyFill="1" applyBorder="1" applyAlignment="1">
      <alignment horizontal="center" vertical="center" wrapText="1"/>
    </xf>
    <xf numFmtId="0" fontId="59" fillId="21" borderId="8" xfId="6" applyFont="1" applyFill="1" applyBorder="1" applyAlignment="1">
      <alignment horizontal="center" vertical="center" wrapText="1"/>
    </xf>
    <xf numFmtId="0" fontId="4" fillId="19" borderId="72" xfId="0" applyFont="1" applyFill="1" applyBorder="1" applyAlignment="1">
      <alignment horizontal="center" vertical="center" textRotation="90" wrapText="1"/>
    </xf>
    <xf numFmtId="0" fontId="4" fillId="19" borderId="71" xfId="0" applyFont="1" applyFill="1" applyBorder="1" applyAlignment="1">
      <alignment horizontal="center" vertical="center" textRotation="90" wrapText="1"/>
    </xf>
    <xf numFmtId="0" fontId="4" fillId="19" borderId="72" xfId="0" applyFont="1" applyFill="1" applyBorder="1" applyAlignment="1">
      <alignment horizontal="center" vertical="center" wrapText="1"/>
    </xf>
    <xf numFmtId="0" fontId="4" fillId="19" borderId="71" xfId="0" applyFont="1" applyFill="1" applyBorder="1" applyAlignment="1">
      <alignment horizontal="center" vertical="center" wrapText="1"/>
    </xf>
    <xf numFmtId="0" fontId="52" fillId="19" borderId="72" xfId="6" applyFont="1" applyFill="1" applyBorder="1" applyAlignment="1">
      <alignment horizontal="center" vertical="center" wrapText="1"/>
    </xf>
    <xf numFmtId="0" fontId="52" fillId="19" borderId="71" xfId="6" applyFont="1" applyFill="1" applyBorder="1" applyAlignment="1">
      <alignment horizontal="center" vertical="center" wrapText="1"/>
    </xf>
    <xf numFmtId="9" fontId="6" fillId="0" borderId="20" xfId="0" applyNumberFormat="1" applyFont="1" applyBorder="1" applyAlignment="1" applyProtection="1">
      <alignment horizontal="center" vertical="center" wrapText="1"/>
      <protection hidden="1"/>
    </xf>
    <xf numFmtId="0" fontId="58" fillId="0" borderId="20" xfId="0" applyFont="1" applyFill="1" applyBorder="1" applyAlignment="1" applyProtection="1">
      <alignment horizontal="center" vertical="center" wrapText="1"/>
      <protection hidden="1"/>
    </xf>
    <xf numFmtId="0" fontId="58" fillId="0" borderId="20" xfId="0" applyFont="1" applyBorder="1" applyAlignment="1" applyProtection="1">
      <alignment horizontal="center" vertical="center"/>
      <protection hidden="1"/>
    </xf>
    <xf numFmtId="0" fontId="6" fillId="0" borderId="20"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protection locked="0"/>
    </xf>
    <xf numFmtId="9" fontId="6" fillId="0" borderId="20" xfId="0" applyNumberFormat="1" applyFont="1" applyBorder="1" applyAlignment="1" applyProtection="1">
      <alignment horizontal="center" vertical="center" wrapText="1"/>
      <protection locked="0"/>
    </xf>
    <xf numFmtId="0" fontId="60" fillId="18" borderId="72" xfId="6" applyFont="1" applyFill="1" applyBorder="1" applyAlignment="1">
      <alignment horizontal="center" vertical="center" wrapText="1"/>
    </xf>
    <xf numFmtId="0" fontId="60" fillId="18" borderId="71" xfId="6" applyFont="1" applyFill="1" applyBorder="1" applyAlignment="1">
      <alignment horizontal="center" vertical="center" wrapText="1"/>
    </xf>
    <xf numFmtId="0" fontId="4" fillId="19" borderId="83" xfId="0" applyFont="1" applyFill="1" applyBorder="1" applyAlignment="1">
      <alignment horizontal="center" vertical="center" wrapText="1"/>
    </xf>
    <xf numFmtId="0" fontId="4" fillId="19" borderId="80" xfId="0" applyFont="1" applyFill="1" applyBorder="1" applyAlignment="1">
      <alignment horizontal="center" vertical="center" wrapText="1"/>
    </xf>
    <xf numFmtId="0" fontId="4" fillId="19" borderId="72" xfId="0" applyFont="1" applyFill="1" applyBorder="1" applyAlignment="1">
      <alignment horizontal="center" vertical="center" textRotation="90"/>
    </xf>
    <xf numFmtId="0" fontId="4" fillId="19" borderId="71" xfId="0" applyFont="1" applyFill="1" applyBorder="1" applyAlignment="1">
      <alignment horizontal="center" vertical="center" textRotation="90"/>
    </xf>
    <xf numFmtId="0" fontId="4" fillId="19" borderId="81" xfId="0" applyFont="1" applyFill="1" applyBorder="1" applyAlignment="1">
      <alignment horizontal="center" vertical="center" textRotation="90"/>
    </xf>
    <xf numFmtId="0" fontId="4" fillId="19" borderId="21" xfId="0" applyFont="1" applyFill="1" applyBorder="1" applyAlignment="1">
      <alignment horizontal="center" vertical="center" wrapText="1"/>
    </xf>
    <xf numFmtId="0" fontId="4" fillId="19" borderId="22" xfId="0" applyFont="1" applyFill="1" applyBorder="1" applyAlignment="1">
      <alignment horizontal="center" vertical="center" wrapText="1"/>
    </xf>
    <xf numFmtId="0" fontId="4" fillId="19" borderId="33" xfId="0" applyFont="1" applyFill="1" applyBorder="1" applyAlignment="1">
      <alignment horizontal="center" vertical="center" wrapText="1"/>
    </xf>
    <xf numFmtId="0" fontId="4" fillId="2" borderId="84" xfId="0" applyFont="1" applyFill="1" applyBorder="1" applyAlignment="1">
      <alignment horizontal="center" vertical="center" textRotation="90" wrapText="1"/>
    </xf>
    <xf numFmtId="0" fontId="4" fillId="2" borderId="79" xfId="0" applyFont="1" applyFill="1" applyBorder="1" applyAlignment="1">
      <alignment horizontal="center" vertical="center" textRotation="90" wrapText="1"/>
    </xf>
    <xf numFmtId="0" fontId="4" fillId="19" borderId="83" xfId="0" applyFont="1" applyFill="1" applyBorder="1" applyAlignment="1">
      <alignment horizontal="center" vertical="center" textRotation="90" wrapText="1"/>
    </xf>
    <xf numFmtId="0" fontId="4" fillId="19" borderId="80" xfId="0" applyFont="1" applyFill="1" applyBorder="1" applyAlignment="1">
      <alignment horizontal="center" vertical="center" textRotation="90" wrapText="1"/>
    </xf>
    <xf numFmtId="0" fontId="64" fillId="0" borderId="3" xfId="7" applyFont="1" applyFill="1" applyBorder="1" applyAlignment="1" applyProtection="1">
      <alignment horizontal="center" vertical="center" wrapText="1"/>
    </xf>
    <xf numFmtId="0" fontId="64" fillId="0" borderId="10" xfId="7" applyFont="1" applyFill="1" applyBorder="1" applyAlignment="1" applyProtection="1">
      <alignment horizontal="center" vertical="center" wrapText="1"/>
    </xf>
    <xf numFmtId="0" fontId="64" fillId="0" borderId="4" xfId="7" applyFont="1" applyFill="1" applyBorder="1" applyAlignment="1" applyProtection="1">
      <alignment horizontal="center" vertical="center" wrapText="1"/>
    </xf>
    <xf numFmtId="0" fontId="64" fillId="0" borderId="7" xfId="7" applyFont="1" applyFill="1" applyBorder="1" applyAlignment="1" applyProtection="1">
      <alignment horizontal="center" vertical="center" wrapText="1"/>
    </xf>
    <xf numFmtId="0" fontId="64" fillId="0" borderId="9" xfId="7" applyFont="1" applyFill="1" applyBorder="1" applyAlignment="1" applyProtection="1">
      <alignment horizontal="center" vertical="center" wrapText="1"/>
    </xf>
    <xf numFmtId="0" fontId="64" fillId="0" borderId="8" xfId="7" applyFont="1" applyFill="1" applyBorder="1" applyAlignment="1" applyProtection="1">
      <alignment horizontal="center" vertical="center" wrapText="1"/>
    </xf>
    <xf numFmtId="0" fontId="62" fillId="25" borderId="21" xfId="6" applyFont="1" applyFill="1" applyBorder="1" applyAlignment="1">
      <alignment horizontal="center" vertical="center"/>
    </xf>
    <xf numFmtId="0" fontId="62" fillId="25" borderId="22" xfId="6" applyFont="1" applyFill="1" applyBorder="1" applyAlignment="1">
      <alignment horizontal="center" vertical="center"/>
    </xf>
    <xf numFmtId="0" fontId="62" fillId="25" borderId="33" xfId="6"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22" xfId="0" applyFont="1" applyFill="1" applyBorder="1" applyAlignment="1">
      <alignment horizontal="center" vertical="center"/>
    </xf>
    <xf numFmtId="0" fontId="70" fillId="26" borderId="33" xfId="0" applyFont="1" applyFill="1" applyBorder="1" applyAlignment="1">
      <alignment horizontal="center" vertical="center"/>
    </xf>
    <xf numFmtId="0" fontId="59" fillId="21" borderId="21" xfId="6" applyFont="1" applyFill="1" applyBorder="1" applyAlignment="1">
      <alignment horizontal="center" vertical="center" wrapText="1"/>
    </xf>
    <xf numFmtId="0" fontId="59" fillId="21" borderId="22" xfId="6" applyFont="1" applyFill="1" applyBorder="1" applyAlignment="1">
      <alignment horizontal="center" vertical="center" wrapText="1"/>
    </xf>
    <xf numFmtId="0" fontId="59" fillId="21" borderId="33" xfId="6" applyFont="1" applyFill="1" applyBorder="1" applyAlignment="1">
      <alignment horizontal="center" vertical="center" wrapText="1"/>
    </xf>
    <xf numFmtId="0" fontId="59" fillId="24" borderId="3" xfId="6" applyFont="1" applyFill="1" applyBorder="1" applyAlignment="1">
      <alignment horizontal="center" vertical="center" wrapText="1"/>
    </xf>
    <xf numFmtId="0" fontId="59" fillId="24" borderId="4" xfId="6" applyFont="1" applyFill="1" applyBorder="1" applyAlignment="1">
      <alignment horizontal="center" vertical="center" wrapText="1"/>
    </xf>
    <xf numFmtId="0" fontId="59" fillId="24" borderId="7" xfId="6" applyFont="1" applyFill="1" applyBorder="1" applyAlignment="1">
      <alignment horizontal="center" vertical="center" wrapText="1"/>
    </xf>
    <xf numFmtId="0" fontId="59" fillId="24" borderId="8" xfId="6" applyFont="1" applyFill="1" applyBorder="1" applyAlignment="1">
      <alignment horizontal="center" vertical="center" wrapText="1"/>
    </xf>
    <xf numFmtId="0" fontId="59" fillId="23" borderId="3" xfId="6" applyFont="1" applyFill="1" applyBorder="1" applyAlignment="1">
      <alignment horizontal="center" vertical="center" wrapText="1"/>
    </xf>
    <xf numFmtId="0" fontId="59" fillId="23" borderId="4" xfId="6" applyFont="1" applyFill="1" applyBorder="1" applyAlignment="1">
      <alignment horizontal="center" vertical="center" wrapText="1"/>
    </xf>
    <xf numFmtId="0" fontId="59" fillId="23" borderId="7" xfId="6" applyFont="1" applyFill="1" applyBorder="1" applyAlignment="1">
      <alignment horizontal="center" vertical="center" wrapText="1"/>
    </xf>
    <xf numFmtId="0" fontId="59" fillId="23" borderId="8" xfId="6" applyFont="1" applyFill="1" applyBorder="1" applyAlignment="1">
      <alignment horizontal="center" vertical="center" wrapText="1"/>
    </xf>
    <xf numFmtId="0" fontId="59" fillId="22" borderId="69" xfId="6" applyFont="1" applyFill="1" applyBorder="1" applyAlignment="1">
      <alignment horizontal="center" vertical="center" wrapText="1"/>
    </xf>
    <xf numFmtId="0" fontId="59" fillId="22" borderId="68" xfId="6" applyFont="1" applyFill="1" applyBorder="1" applyAlignment="1">
      <alignment horizontal="center" vertical="center" wrapText="1"/>
    </xf>
    <xf numFmtId="0" fontId="59" fillId="22" borderId="73" xfId="6" applyFont="1" applyFill="1" applyBorder="1" applyAlignment="1">
      <alignment horizontal="center" vertical="center" wrapText="1"/>
    </xf>
    <xf numFmtId="0" fontId="59" fillId="22" borderId="25" xfId="6" applyFont="1" applyFill="1" applyBorder="1" applyAlignment="1">
      <alignment horizontal="center" vertical="center" wrapText="1"/>
    </xf>
    <xf numFmtId="0" fontId="59" fillId="22" borderId="26" xfId="6" applyFont="1" applyFill="1" applyBorder="1" applyAlignment="1">
      <alignment horizontal="center" vertical="center" wrapText="1"/>
    </xf>
    <xf numFmtId="0" fontId="59" fillId="22" borderId="27" xfId="6"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69" fillId="27" borderId="69" xfId="0" applyFont="1" applyFill="1" applyBorder="1" applyAlignment="1">
      <alignment horizontal="center" vertical="center"/>
    </xf>
    <xf numFmtId="0" fontId="69" fillId="27" borderId="73" xfId="0" applyFont="1" applyFill="1" applyBorder="1" applyAlignment="1">
      <alignment horizontal="center" vertical="center"/>
    </xf>
    <xf numFmtId="0" fontId="3" fillId="0" borderId="6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9" xfId="0" applyFont="1" applyBorder="1" applyAlignment="1">
      <alignment horizontal="center" vertical="center"/>
    </xf>
    <xf numFmtId="0" fontId="3" fillId="0" borderId="25" xfId="0" applyFont="1" applyBorder="1" applyAlignment="1">
      <alignment horizontal="center" vertical="center"/>
    </xf>
    <xf numFmtId="0" fontId="3" fillId="0" borderId="98"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69" xfId="0" applyFont="1" applyBorder="1" applyAlignment="1">
      <alignment horizontal="center" wrapText="1"/>
    </xf>
    <xf numFmtId="0" fontId="3" fillId="0" borderId="25" xfId="0" applyFont="1" applyBorder="1" applyAlignment="1">
      <alignment horizontal="center" wrapText="1"/>
    </xf>
    <xf numFmtId="0" fontId="54" fillId="3" borderId="50" xfId="2" applyFont="1" applyFill="1" applyBorder="1" applyAlignment="1" applyProtection="1">
      <alignment horizontal="justify" vertical="center" wrapText="1"/>
    </xf>
    <xf numFmtId="0" fontId="54" fillId="3" borderId="51" xfId="2" applyFont="1" applyFill="1" applyBorder="1" applyAlignment="1" applyProtection="1">
      <alignment horizontal="justify" vertical="center" wrapText="1"/>
    </xf>
    <xf numFmtId="0" fontId="53" fillId="3" borderId="57" xfId="0" applyFont="1" applyFill="1" applyBorder="1" applyAlignment="1" applyProtection="1">
      <alignment horizontal="left" vertical="center" wrapText="1"/>
    </xf>
    <xf numFmtId="0" fontId="53" fillId="3" borderId="58" xfId="0" applyFont="1" applyFill="1" applyBorder="1" applyAlignment="1" applyProtection="1">
      <alignment horizontal="left" vertical="center" wrapText="1"/>
    </xf>
    <xf numFmtId="0" fontId="53" fillId="3" borderId="44" xfId="3" applyFont="1" applyFill="1" applyBorder="1" applyAlignment="1" applyProtection="1">
      <alignment horizontal="left" vertical="top" wrapText="1" readingOrder="1"/>
    </xf>
    <xf numFmtId="0" fontId="53" fillId="3" borderId="45" xfId="3" applyFont="1" applyFill="1" applyBorder="1" applyAlignment="1" applyProtection="1">
      <alignment horizontal="left" vertical="top" wrapText="1" readingOrder="1"/>
    </xf>
    <xf numFmtId="0" fontId="54" fillId="3" borderId="46" xfId="2" applyFont="1" applyFill="1" applyBorder="1" applyAlignment="1" applyProtection="1">
      <alignment horizontal="justify" vertical="center" wrapText="1"/>
    </xf>
    <xf numFmtId="0" fontId="54" fillId="3" borderId="47" xfId="2" applyFont="1" applyFill="1" applyBorder="1" applyAlignment="1" applyProtection="1">
      <alignment horizontal="justify" vertical="center" wrapText="1"/>
    </xf>
    <xf numFmtId="0" fontId="53" fillId="3" borderId="48" xfId="0" applyFont="1" applyFill="1" applyBorder="1" applyAlignment="1" applyProtection="1">
      <alignment horizontal="left" vertical="center" wrapText="1"/>
    </xf>
    <xf numFmtId="0" fontId="53" fillId="3" borderId="49" xfId="0" applyFont="1" applyFill="1" applyBorder="1" applyAlignment="1" applyProtection="1">
      <alignment horizontal="left" vertical="center" wrapText="1"/>
    </xf>
    <xf numFmtId="0" fontId="48" fillId="3" borderId="5" xfId="2" applyFont="1" applyFill="1" applyBorder="1" applyAlignment="1" applyProtection="1">
      <alignment horizontal="left" vertical="top" wrapText="1"/>
    </xf>
    <xf numFmtId="0" fontId="48" fillId="3" borderId="0" xfId="2" applyFont="1" applyFill="1" applyBorder="1" applyAlignment="1" applyProtection="1">
      <alignment horizontal="left" vertical="top" wrapText="1"/>
    </xf>
    <xf numFmtId="0" fontId="48" fillId="3" borderId="6" xfId="2" applyFont="1" applyFill="1" applyBorder="1" applyAlignment="1" applyProtection="1">
      <alignment horizontal="left" vertical="top" wrapText="1"/>
    </xf>
    <xf numFmtId="0" fontId="53" fillId="3" borderId="59" xfId="0" applyFont="1" applyFill="1" applyBorder="1" applyAlignment="1" applyProtection="1">
      <alignment horizontal="left" vertical="center" wrapText="1"/>
    </xf>
    <xf numFmtId="0" fontId="53" fillId="3" borderId="60" xfId="0" applyFont="1" applyFill="1" applyBorder="1" applyAlignment="1" applyProtection="1">
      <alignment horizontal="left" vertical="center" wrapText="1"/>
    </xf>
    <xf numFmtId="0" fontId="54" fillId="3" borderId="52" xfId="0" applyFont="1" applyFill="1" applyBorder="1" applyAlignment="1" applyProtection="1">
      <alignment horizontal="justify" vertical="center" wrapText="1"/>
    </xf>
    <xf numFmtId="0" fontId="54" fillId="3" borderId="53" xfId="0" applyFont="1" applyFill="1" applyBorder="1" applyAlignment="1" applyProtection="1">
      <alignment horizontal="justify" vertical="center" wrapText="1"/>
    </xf>
    <xf numFmtId="0" fontId="49" fillId="14" borderId="34" xfId="2" applyFont="1" applyFill="1" applyBorder="1" applyAlignment="1" applyProtection="1">
      <alignment horizontal="center" vertical="center" wrapText="1"/>
    </xf>
    <xf numFmtId="0" fontId="49" fillId="14" borderId="35" xfId="2" applyFont="1" applyFill="1" applyBorder="1" applyAlignment="1" applyProtection="1">
      <alignment horizontal="center" vertical="center" wrapText="1"/>
    </xf>
    <xf numFmtId="0" fontId="49" fillId="14" borderId="36" xfId="2" applyFont="1" applyFill="1" applyBorder="1" applyAlignment="1" applyProtection="1">
      <alignment horizontal="center" vertical="center" wrapText="1"/>
    </xf>
    <xf numFmtId="0" fontId="48" fillId="0" borderId="5" xfId="2" quotePrefix="1" applyFont="1" applyBorder="1" applyAlignment="1" applyProtection="1">
      <alignment horizontal="left" vertical="center" wrapText="1"/>
    </xf>
    <xf numFmtId="0" fontId="48" fillId="0" borderId="0" xfId="2" quotePrefix="1" applyFont="1" applyBorder="1" applyAlignment="1" applyProtection="1">
      <alignment horizontal="left" vertical="center" wrapText="1"/>
    </xf>
    <xf numFmtId="0" fontId="48" fillId="0" borderId="6" xfId="2" quotePrefix="1" applyFont="1" applyBorder="1" applyAlignment="1" applyProtection="1">
      <alignment horizontal="left" vertical="center" wrapText="1"/>
    </xf>
    <xf numFmtId="0" fontId="48" fillId="0" borderId="54" xfId="2" quotePrefix="1" applyFont="1" applyBorder="1" applyAlignment="1" applyProtection="1">
      <alignment horizontal="left" vertical="center" wrapText="1"/>
    </xf>
    <xf numFmtId="0" fontId="48" fillId="0" borderId="55" xfId="2" quotePrefix="1" applyFont="1" applyBorder="1" applyAlignment="1" applyProtection="1">
      <alignment horizontal="left" vertical="center" wrapText="1"/>
    </xf>
    <xf numFmtId="0" fontId="48" fillId="0" borderId="56" xfId="2" quotePrefix="1" applyFont="1" applyBorder="1" applyAlignment="1" applyProtection="1">
      <alignment horizontal="left" vertical="center" wrapText="1"/>
    </xf>
    <xf numFmtId="0" fontId="50" fillId="3" borderId="37" xfId="2" quotePrefix="1" applyFont="1" applyFill="1" applyBorder="1" applyAlignment="1" applyProtection="1">
      <alignment horizontal="left" vertical="top" wrapText="1"/>
    </xf>
    <xf numFmtId="0" fontId="51" fillId="3" borderId="38" xfId="2" quotePrefix="1" applyFont="1" applyFill="1" applyBorder="1" applyAlignment="1" applyProtection="1">
      <alignment horizontal="left" vertical="top" wrapText="1"/>
    </xf>
    <xf numFmtId="0" fontId="51" fillId="3" borderId="39" xfId="2" quotePrefix="1" applyFont="1" applyFill="1" applyBorder="1" applyAlignment="1" applyProtection="1">
      <alignment horizontal="left" vertical="top" wrapText="1"/>
    </xf>
    <xf numFmtId="0" fontId="48" fillId="0" borderId="5" xfId="2" quotePrefix="1" applyFont="1" applyBorder="1" applyAlignment="1" applyProtection="1">
      <alignment horizontal="left" vertical="top" wrapText="1"/>
    </xf>
    <xf numFmtId="0" fontId="48" fillId="0" borderId="0" xfId="2" quotePrefix="1" applyFont="1" applyBorder="1" applyAlignment="1" applyProtection="1">
      <alignment horizontal="left" vertical="top" wrapText="1"/>
    </xf>
    <xf numFmtId="0" fontId="48" fillId="0" borderId="6" xfId="2" quotePrefix="1" applyFont="1" applyBorder="1" applyAlignment="1" applyProtection="1">
      <alignment horizontal="left" vertical="top" wrapText="1"/>
    </xf>
    <xf numFmtId="0" fontId="53" fillId="14" borderId="40" xfId="3" applyFont="1" applyFill="1" applyBorder="1" applyAlignment="1" applyProtection="1">
      <alignment horizontal="center" vertical="center" wrapText="1"/>
    </xf>
    <xf numFmtId="0" fontId="53" fillId="14" borderId="41" xfId="3" applyFont="1" applyFill="1" applyBorder="1" applyAlignment="1" applyProtection="1">
      <alignment horizontal="center" vertical="center" wrapText="1"/>
    </xf>
    <xf numFmtId="0" fontId="53" fillId="14" borderId="42" xfId="2" applyFont="1" applyFill="1" applyBorder="1" applyAlignment="1" applyProtection="1">
      <alignment horizontal="center" vertical="center"/>
    </xf>
    <xf numFmtId="0" fontId="53" fillId="14" borderId="43" xfId="2" applyFont="1" applyFill="1" applyBorder="1" applyAlignment="1" applyProtection="1">
      <alignment horizontal="center" vertical="center"/>
    </xf>
    <xf numFmtId="0" fontId="2" fillId="3" borderId="54" xfId="2" quotePrefix="1" applyFont="1" applyFill="1" applyBorder="1" applyAlignment="1" applyProtection="1">
      <alignment horizontal="justify" vertical="center" wrapText="1"/>
    </xf>
    <xf numFmtId="0" fontId="2" fillId="3" borderId="55" xfId="2" quotePrefix="1" applyFont="1" applyFill="1" applyBorder="1" applyAlignment="1" applyProtection="1">
      <alignment horizontal="justify" vertical="center" wrapText="1"/>
    </xf>
    <xf numFmtId="0" fontId="2" fillId="3" borderId="56" xfId="2" quotePrefix="1" applyFont="1" applyFill="1" applyBorder="1" applyAlignment="1" applyProtection="1">
      <alignment horizontal="justify"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0" xfId="0" applyFont="1" applyBorder="1" applyAlignment="1">
      <alignment horizontal="center" vertical="center"/>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1" xfId="0" applyFont="1" applyFill="1" applyBorder="1" applyAlignment="1">
      <alignment horizontal="center" vertical="center" wrapText="1" readingOrder="1"/>
    </xf>
    <xf numFmtId="0" fontId="41" fillId="11" borderId="12" xfId="0" applyFont="1" applyFill="1" applyBorder="1" applyAlignment="1">
      <alignment horizontal="center" vertical="center" wrapText="1" readingOrder="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0"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2" fillId="0" borderId="3" xfId="0" applyFont="1" applyBorder="1" applyAlignment="1">
      <alignment horizontal="center" vertical="center" wrapText="1"/>
    </xf>
    <xf numFmtId="0" fontId="42" fillId="0" borderId="10" xfId="0" applyFont="1" applyBorder="1" applyAlignment="1">
      <alignment horizontal="center" vertical="center"/>
    </xf>
    <xf numFmtId="0" fontId="42" fillId="0" borderId="5" xfId="0" applyFont="1" applyBorder="1" applyAlignment="1">
      <alignment horizontal="center" vertical="center" wrapText="1"/>
    </xf>
    <xf numFmtId="0" fontId="42" fillId="0" borderId="0"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1" fillId="12" borderId="11" xfId="0" applyFont="1" applyFill="1" applyBorder="1" applyAlignment="1">
      <alignment horizontal="center" vertical="center" wrapText="1" readingOrder="1"/>
    </xf>
    <xf numFmtId="0" fontId="41" fillId="12" borderId="12" xfId="0" applyFont="1" applyFill="1" applyBorder="1" applyAlignment="1">
      <alignment horizontal="center" vertical="center" wrapText="1" readingOrder="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0"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1" fillId="5" borderId="11" xfId="0" applyFont="1" applyFill="1" applyBorder="1" applyAlignment="1">
      <alignment horizontal="center" vertical="center" wrapText="1" readingOrder="1"/>
    </xf>
    <xf numFmtId="0" fontId="41" fillId="5" borderId="12" xfId="0" applyFont="1" applyFill="1" applyBorder="1" applyAlignment="1">
      <alignment horizontal="center" vertical="center" wrapText="1" readingOrder="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0"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13" borderId="11" xfId="0" applyFont="1" applyFill="1" applyBorder="1" applyAlignment="1">
      <alignment horizontal="center" vertical="center" wrapText="1" readingOrder="1"/>
    </xf>
    <xf numFmtId="0" fontId="41" fillId="13" borderId="12"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0"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2" fillId="0" borderId="10"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1" xfId="0" applyFont="1" applyFill="1" applyBorder="1" applyAlignment="1">
      <alignment horizontal="center" vertical="center" wrapText="1" readingOrder="1"/>
    </xf>
    <xf numFmtId="0" fontId="39" fillId="15" borderId="22" xfId="0" applyFont="1" applyFill="1" applyBorder="1" applyAlignment="1">
      <alignment horizontal="center" vertical="center" wrapText="1" readingOrder="1"/>
    </xf>
    <xf numFmtId="0" fontId="39" fillId="15" borderId="33" xfId="0" applyFont="1" applyFill="1" applyBorder="1" applyAlignment="1">
      <alignment horizontal="center" vertical="center" wrapText="1" readingOrder="1"/>
    </xf>
    <xf numFmtId="0" fontId="34" fillId="3" borderId="0" xfId="0" applyFont="1" applyFill="1" applyBorder="1" applyAlignment="1">
      <alignment horizontal="justify" vertical="center" wrapText="1"/>
    </xf>
    <xf numFmtId="0" fontId="36" fillId="15" borderId="30" xfId="0" applyFont="1" applyFill="1" applyBorder="1" applyAlignment="1">
      <alignment horizontal="center" vertical="center" wrapText="1" readingOrder="1"/>
    </xf>
    <xf numFmtId="0" fontId="36" fillId="15" borderId="31"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6" fillId="3" borderId="23" xfId="0" applyFont="1" applyFill="1" applyBorder="1" applyAlignment="1">
      <alignment horizontal="center" vertical="center" wrapText="1" readingOrder="1"/>
    </xf>
    <xf numFmtId="0" fontId="36" fillId="3" borderId="20" xfId="0" applyFont="1" applyFill="1" applyBorder="1" applyAlignment="1">
      <alignment horizontal="center" vertical="center" wrapText="1" readingOrder="1"/>
    </xf>
    <xf numFmtId="0" fontId="36" fillId="3" borderId="19"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69" fillId="3" borderId="0" xfId="0" applyFont="1" applyFill="1" applyBorder="1" applyAlignment="1">
      <alignment horizontal="center" vertical="center" wrapText="1"/>
    </xf>
    <xf numFmtId="0" fontId="69" fillId="17" borderId="19" xfId="0" applyFont="1" applyFill="1" applyBorder="1" applyAlignment="1">
      <alignment horizontal="center" vertical="center" wrapText="1"/>
    </xf>
  </cellXfs>
  <cellStyles count="9">
    <cellStyle name="Hipervínculo" xfId="7" builtinId="8"/>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FD497B5D-AEBE-47D3-9AC1-36E85BFC29C9}"/>
    <cellStyle name="Normal 3 2" xfId="6" xr:uid="{4F0FC055-3C28-4317-9A5E-71046FBE2410}"/>
    <cellStyle name="Normal 6" xfId="8" xr:uid="{B5C0C5A7-8F0A-4D2B-B044-D464CE7196C2}"/>
    <cellStyle name="Porcentaje" xfId="1" builtinId="5"/>
  </cellStyles>
  <dxfs count="27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2D9E2C"/>
        </patternFill>
      </fill>
    </dxf>
    <dxf>
      <fill>
        <patternFill>
          <bgColor rgb="FF2D9E2C"/>
        </patternFill>
      </fill>
    </dxf>
    <dxf>
      <fill>
        <patternFill>
          <bgColor rgb="FF2D9E2C"/>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9633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2D9E2C"/>
        </patternFill>
      </fill>
    </dxf>
    <dxf>
      <fill>
        <patternFill>
          <bgColor rgb="FF2D9E2C"/>
        </patternFill>
      </fill>
    </dxf>
    <dxf>
      <fill>
        <patternFill>
          <bgColor rgb="FF2D9E2C"/>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9633FF"/>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E6EFFD"/>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49</xdr:col>
      <xdr:colOff>709384</xdr:colOff>
      <xdr:row>0</xdr:row>
      <xdr:rowOff>91423</xdr:rowOff>
    </xdr:from>
    <xdr:ext cx="2471965" cy="756302"/>
    <xdr:pic>
      <xdr:nvPicPr>
        <xdr:cNvPr id="2" name="Imagen 1">
          <a:extLst>
            <a:ext uri="{FF2B5EF4-FFF2-40B4-BE49-F238E27FC236}">
              <a16:creationId xmlns:a16="http://schemas.microsoft.com/office/drawing/2014/main" id="{349F5262-E7DD-4C91-8FB0-2DE059F2F8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02359" y="91423"/>
          <a:ext cx="2471965" cy="756302"/>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46</xdr:col>
      <xdr:colOff>588796</xdr:colOff>
      <xdr:row>0</xdr:row>
      <xdr:rowOff>88826</xdr:rowOff>
    </xdr:from>
    <xdr:ext cx="2561069" cy="755195"/>
    <xdr:pic>
      <xdr:nvPicPr>
        <xdr:cNvPr id="3" name="Imagen 2">
          <a:extLst>
            <a:ext uri="{FF2B5EF4-FFF2-40B4-BE49-F238E27FC236}">
              <a16:creationId xmlns:a16="http://schemas.microsoft.com/office/drawing/2014/main" id="{B90D95D5-B084-4F4C-AED1-EE9DAB7ED9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87379" y="88826"/>
          <a:ext cx="2561069" cy="755195"/>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9D907-285C-4A8F-803A-313057454A82}">
  <dimension ref="A1:BD100"/>
  <sheetViews>
    <sheetView topLeftCell="U1" zoomScale="110" zoomScaleNormal="110" workbookViewId="0">
      <selection activeCell="AG9" sqref="AG9"/>
    </sheetView>
  </sheetViews>
  <sheetFormatPr baseColWidth="10" defaultRowHeight="15" x14ac:dyDescent="0.25"/>
  <cols>
    <col min="4" max="4" width="22.5703125" style="124" customWidth="1"/>
    <col min="5" max="5" width="20.5703125" customWidth="1"/>
    <col min="6" max="6" width="20.140625" customWidth="1"/>
    <col min="7" max="7" width="19.5703125" customWidth="1"/>
    <col min="8" max="8" width="20" customWidth="1"/>
    <col min="9" max="9" width="17.85546875" customWidth="1"/>
    <col min="10" max="10" width="22.5703125" style="193" customWidth="1"/>
    <col min="11" max="11" width="24.7109375" customWidth="1"/>
    <col min="12" max="12" width="22.42578125" customWidth="1"/>
    <col min="13" max="13" width="18.28515625" customWidth="1"/>
    <col min="15" max="15" width="19.5703125" customWidth="1"/>
    <col min="16" max="16" width="21.5703125" customWidth="1"/>
    <col min="17" max="17" width="18.140625" customWidth="1"/>
    <col min="18" max="18" width="24.28515625" customWidth="1"/>
    <col min="19" max="19" width="29.5703125" customWidth="1"/>
    <col min="20" max="20" width="19" customWidth="1"/>
    <col min="21" max="21" width="21.42578125" customWidth="1"/>
    <col min="33" max="33" width="17.5703125" customWidth="1"/>
    <col min="35" max="35" width="31.28515625" customWidth="1"/>
    <col min="36" max="36" width="7.42578125" style="193" hidden="1" customWidth="1"/>
    <col min="37" max="37" width="25.5703125" customWidth="1"/>
    <col min="38" max="38" width="7.140625" style="193" hidden="1" customWidth="1"/>
    <col min="39" max="39" width="36.28515625" customWidth="1"/>
    <col min="40" max="40" width="6.7109375" style="193" hidden="1" customWidth="1"/>
    <col min="41" max="41" width="21.85546875" style="193" customWidth="1"/>
    <col min="42" max="42" width="28.85546875" customWidth="1"/>
    <col min="43" max="43" width="34.28515625" customWidth="1"/>
    <col min="44" max="44" width="16.140625" customWidth="1"/>
    <col min="45" max="45" width="17.85546875" customWidth="1"/>
    <col min="46" max="46" width="26.85546875" customWidth="1"/>
    <col min="47" max="47" width="24.140625" customWidth="1"/>
    <col min="48" max="48" width="23.28515625" customWidth="1"/>
    <col min="49" max="49" width="22.140625" customWidth="1"/>
    <col min="50" max="50" width="18.7109375" customWidth="1"/>
    <col min="51" max="51" width="17.5703125" customWidth="1"/>
    <col min="52" max="52" width="23.140625" customWidth="1"/>
    <col min="53" max="53" width="18.85546875" customWidth="1"/>
    <col min="54" max="54" width="16.140625" customWidth="1"/>
    <col min="55" max="55" width="20.85546875" customWidth="1"/>
  </cols>
  <sheetData>
    <row r="1" spans="1:56" ht="34.5" customHeight="1" thickBot="1" x14ac:dyDescent="0.3">
      <c r="A1" s="307" t="s">
        <v>228</v>
      </c>
      <c r="B1" s="308"/>
      <c r="C1" s="308"/>
      <c r="D1" s="308"/>
      <c r="E1" s="308"/>
      <c r="F1" s="309"/>
      <c r="G1" s="310"/>
      <c r="H1" s="311"/>
      <c r="I1" s="317" t="s">
        <v>1101</v>
      </c>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9"/>
      <c r="AU1" s="320"/>
      <c r="AV1" s="321"/>
      <c r="AW1" s="321"/>
      <c r="AX1" s="321"/>
      <c r="AY1" s="321"/>
      <c r="AZ1" s="321"/>
      <c r="BA1" s="321"/>
      <c r="BB1" s="321"/>
      <c r="BC1" s="321"/>
      <c r="BD1" s="322"/>
    </row>
    <row r="2" spans="1:56" ht="39" customHeight="1" thickBot="1" x14ac:dyDescent="0.3">
      <c r="A2" s="312"/>
      <c r="B2" s="313"/>
      <c r="C2" s="313"/>
      <c r="D2" s="313"/>
      <c r="E2" s="313"/>
      <c r="F2" s="314"/>
      <c r="G2" s="315"/>
      <c r="H2" s="316"/>
      <c r="I2" s="329" t="s">
        <v>377</v>
      </c>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1"/>
      <c r="AU2" s="323"/>
      <c r="AV2" s="324"/>
      <c r="AW2" s="324"/>
      <c r="AX2" s="324"/>
      <c r="AY2" s="324"/>
      <c r="AZ2" s="324"/>
      <c r="BA2" s="324"/>
      <c r="BB2" s="324"/>
      <c r="BC2" s="324"/>
      <c r="BD2" s="325"/>
    </row>
    <row r="3" spans="1:56" ht="26.25" customHeight="1" thickBot="1" x14ac:dyDescent="0.3">
      <c r="A3" s="332" t="s">
        <v>1098</v>
      </c>
      <c r="B3" s="333"/>
      <c r="C3" s="333"/>
      <c r="D3" s="333"/>
      <c r="E3" s="333"/>
      <c r="F3" s="334"/>
      <c r="G3" s="335"/>
      <c r="H3" s="335"/>
      <c r="I3" s="336" t="s">
        <v>1100</v>
      </c>
      <c r="J3" s="337"/>
      <c r="K3" s="337"/>
      <c r="L3" s="337"/>
      <c r="M3" s="337"/>
      <c r="N3" s="337"/>
      <c r="O3" s="337"/>
      <c r="P3" s="338"/>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9"/>
      <c r="AU3" s="340" t="s">
        <v>376</v>
      </c>
      <c r="AV3" s="341"/>
      <c r="AW3" s="341"/>
      <c r="AX3" s="341"/>
      <c r="AY3" s="341"/>
      <c r="AZ3" s="341"/>
      <c r="BA3" s="341"/>
      <c r="BB3" s="341"/>
      <c r="BC3" s="341"/>
      <c r="BD3" s="342"/>
    </row>
    <row r="4" spans="1:56" s="194" customFormat="1" ht="25.5" customHeight="1" x14ac:dyDescent="0.2">
      <c r="A4" s="285" t="s">
        <v>375</v>
      </c>
      <c r="B4" s="302" t="s">
        <v>374</v>
      </c>
      <c r="C4" s="303"/>
      <c r="D4" s="304"/>
      <c r="E4" s="285" t="s">
        <v>373</v>
      </c>
      <c r="F4" s="285" t="s">
        <v>372</v>
      </c>
      <c r="G4" s="298" t="s">
        <v>371</v>
      </c>
      <c r="H4" s="298" t="s">
        <v>370</v>
      </c>
      <c r="I4" s="285" t="s">
        <v>369</v>
      </c>
      <c r="J4" s="285" t="s">
        <v>368</v>
      </c>
      <c r="K4" s="285" t="s">
        <v>367</v>
      </c>
      <c r="L4" s="285" t="s">
        <v>366</v>
      </c>
      <c r="M4" s="285" t="s">
        <v>365</v>
      </c>
      <c r="N4" s="285" t="s">
        <v>364</v>
      </c>
      <c r="O4" s="285" t="s">
        <v>363</v>
      </c>
      <c r="P4" s="299" t="s">
        <v>362</v>
      </c>
      <c r="Q4" s="300" t="s">
        <v>361</v>
      </c>
      <c r="R4" s="285" t="s">
        <v>360</v>
      </c>
      <c r="S4" s="285" t="s">
        <v>359</v>
      </c>
      <c r="T4" s="285" t="s">
        <v>358</v>
      </c>
      <c r="U4" s="285" t="s">
        <v>357</v>
      </c>
      <c r="V4" s="302" t="s">
        <v>356</v>
      </c>
      <c r="W4" s="303"/>
      <c r="X4" s="304"/>
      <c r="Y4" s="302" t="s">
        <v>355</v>
      </c>
      <c r="Z4" s="303"/>
      <c r="AA4" s="303"/>
      <c r="AB4" s="304"/>
      <c r="AC4" s="326" t="s">
        <v>354</v>
      </c>
      <c r="AD4" s="327"/>
      <c r="AE4" s="326" t="s">
        <v>353</v>
      </c>
      <c r="AF4" s="328"/>
      <c r="AG4" s="328"/>
      <c r="AH4" s="327"/>
      <c r="AI4" s="285" t="s">
        <v>352</v>
      </c>
      <c r="AJ4" s="295" t="s">
        <v>351</v>
      </c>
      <c r="AK4" s="285" t="s">
        <v>350</v>
      </c>
      <c r="AL4" s="295" t="s">
        <v>349</v>
      </c>
      <c r="AM4" s="285" t="s">
        <v>348</v>
      </c>
      <c r="AN4" s="295" t="s">
        <v>347</v>
      </c>
      <c r="AO4" s="285" t="s">
        <v>346</v>
      </c>
      <c r="AP4" s="282" t="s">
        <v>345</v>
      </c>
      <c r="AQ4" s="282" t="s">
        <v>344</v>
      </c>
      <c r="AR4" s="285" t="s">
        <v>343</v>
      </c>
      <c r="AS4" s="285" t="s">
        <v>342</v>
      </c>
      <c r="AT4" s="282" t="s">
        <v>341</v>
      </c>
      <c r="AU4" s="282" t="s">
        <v>340</v>
      </c>
      <c r="AV4" s="282" t="s">
        <v>339</v>
      </c>
      <c r="AW4" s="282" t="s">
        <v>338</v>
      </c>
      <c r="AX4" s="282" t="s">
        <v>337</v>
      </c>
      <c r="AY4" s="282" t="s">
        <v>336</v>
      </c>
      <c r="AZ4" s="282" t="s">
        <v>335</v>
      </c>
      <c r="BA4" s="282" t="s">
        <v>334</v>
      </c>
      <c r="BB4" s="291" t="s">
        <v>333</v>
      </c>
      <c r="BC4" s="292"/>
      <c r="BD4" s="286" t="s">
        <v>332</v>
      </c>
    </row>
    <row r="5" spans="1:56" s="194" customFormat="1" ht="12.75" x14ac:dyDescent="0.2">
      <c r="A5" s="283"/>
      <c r="B5" s="286" t="s">
        <v>331</v>
      </c>
      <c r="C5" s="286" t="s">
        <v>330</v>
      </c>
      <c r="D5" s="286" t="s">
        <v>176</v>
      </c>
      <c r="E5" s="283"/>
      <c r="F5" s="283"/>
      <c r="G5" s="287"/>
      <c r="H5" s="287"/>
      <c r="I5" s="283"/>
      <c r="J5" s="283"/>
      <c r="K5" s="283"/>
      <c r="L5" s="283"/>
      <c r="M5" s="283"/>
      <c r="N5" s="283"/>
      <c r="O5" s="283"/>
      <c r="P5" s="299"/>
      <c r="Q5" s="301"/>
      <c r="R5" s="283"/>
      <c r="S5" s="283"/>
      <c r="T5" s="283"/>
      <c r="U5" s="283"/>
      <c r="V5" s="286" t="s">
        <v>329</v>
      </c>
      <c r="W5" s="286" t="s">
        <v>328</v>
      </c>
      <c r="X5" s="286" t="s">
        <v>327</v>
      </c>
      <c r="Y5" s="305" t="s">
        <v>326</v>
      </c>
      <c r="Z5" s="306"/>
      <c r="AA5" s="286" t="s">
        <v>325</v>
      </c>
      <c r="AB5" s="286" t="s">
        <v>324</v>
      </c>
      <c r="AC5" s="289" t="s">
        <v>323</v>
      </c>
      <c r="AD5" s="289" t="s">
        <v>316</v>
      </c>
      <c r="AE5" s="289" t="s">
        <v>322</v>
      </c>
      <c r="AF5" s="289" t="s">
        <v>321</v>
      </c>
      <c r="AG5" s="289" t="s">
        <v>320</v>
      </c>
      <c r="AH5" s="289" t="s">
        <v>319</v>
      </c>
      <c r="AI5" s="283"/>
      <c r="AJ5" s="296"/>
      <c r="AK5" s="283"/>
      <c r="AL5" s="296"/>
      <c r="AM5" s="283"/>
      <c r="AN5" s="296"/>
      <c r="AO5" s="283"/>
      <c r="AP5" s="283"/>
      <c r="AQ5" s="283"/>
      <c r="AR5" s="283"/>
      <c r="AS5" s="284"/>
      <c r="AT5" s="283"/>
      <c r="AU5" s="283"/>
      <c r="AV5" s="283"/>
      <c r="AW5" s="283"/>
      <c r="AX5" s="283"/>
      <c r="AY5" s="283"/>
      <c r="AZ5" s="283"/>
      <c r="BA5" s="283"/>
      <c r="BB5" s="293"/>
      <c r="BC5" s="294"/>
      <c r="BD5" s="287"/>
    </row>
    <row r="6" spans="1:56" s="194" customFormat="1" ht="42" customHeight="1" x14ac:dyDescent="0.2">
      <c r="A6" s="284"/>
      <c r="B6" s="288"/>
      <c r="C6" s="288"/>
      <c r="D6" s="288"/>
      <c r="E6" s="284"/>
      <c r="F6" s="284"/>
      <c r="G6" s="288"/>
      <c r="H6" s="288"/>
      <c r="I6" s="284"/>
      <c r="J6" s="284"/>
      <c r="K6" s="284"/>
      <c r="L6" s="284"/>
      <c r="M6" s="284"/>
      <c r="N6" s="284"/>
      <c r="O6" s="284"/>
      <c r="P6" s="299"/>
      <c r="Q6" s="294"/>
      <c r="R6" s="284"/>
      <c r="S6" s="284"/>
      <c r="T6" s="284"/>
      <c r="U6" s="284"/>
      <c r="V6" s="288"/>
      <c r="W6" s="288"/>
      <c r="X6" s="288"/>
      <c r="Y6" s="196" t="s">
        <v>318</v>
      </c>
      <c r="Z6" s="196" t="s">
        <v>317</v>
      </c>
      <c r="AA6" s="288"/>
      <c r="AB6" s="288"/>
      <c r="AC6" s="290"/>
      <c r="AD6" s="290" t="s">
        <v>316</v>
      </c>
      <c r="AE6" s="290"/>
      <c r="AF6" s="290"/>
      <c r="AG6" s="290"/>
      <c r="AH6" s="290"/>
      <c r="AI6" s="284"/>
      <c r="AJ6" s="297"/>
      <c r="AK6" s="284"/>
      <c r="AL6" s="297" t="s">
        <v>315</v>
      </c>
      <c r="AM6" s="284"/>
      <c r="AN6" s="297"/>
      <c r="AO6" s="284"/>
      <c r="AP6" s="284"/>
      <c r="AQ6" s="284"/>
      <c r="AR6" s="195" t="s">
        <v>314</v>
      </c>
      <c r="AS6" s="195" t="s">
        <v>313</v>
      </c>
      <c r="AT6" s="284"/>
      <c r="AU6" s="284"/>
      <c r="AV6" s="284"/>
      <c r="AW6" s="284"/>
      <c r="AX6" s="284"/>
      <c r="AY6" s="284"/>
      <c r="AZ6" s="284"/>
      <c r="BA6" s="284"/>
      <c r="BB6" s="195" t="s">
        <v>312</v>
      </c>
      <c r="BC6" s="195" t="s">
        <v>311</v>
      </c>
      <c r="BD6" s="288"/>
    </row>
    <row r="7" spans="1:56" s="118" customFormat="1" ht="12.75" x14ac:dyDescent="0.2">
      <c r="A7" s="120"/>
      <c r="B7" s="120"/>
      <c r="C7" s="120"/>
      <c r="D7" s="250"/>
      <c r="E7" s="120"/>
      <c r="F7" s="120"/>
      <c r="G7" s="120"/>
      <c r="H7" s="120"/>
      <c r="I7" s="120"/>
      <c r="J7" s="125"/>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9"/>
      <c r="AK7" s="120"/>
      <c r="AL7" s="129"/>
      <c r="AM7" s="120"/>
      <c r="AN7" s="129">
        <f>IF(AM7="Bajo",1,IF(AM7="Medio",3,IF(AM7="Alto",5,)))</f>
        <v>0</v>
      </c>
      <c r="AO7" s="129" t="str">
        <f t="shared" ref="AO7:AO38" si="0">IF(OR(AJ7=0,AL7=0,AN7=0),"FALTAN DATOS",IF(AND(AJ7=1,AL7=1,AN7=1),"BAJO",(IF(OR(AND(AJ7=5,AL7=5),AND(AL7=5,AN7=5),AND(AJ7=5,AN7=5),AND(AJ7=5,AL7=5,AN7=5)),"ALTA","MEDIA"))))</f>
        <v>FALTAN DATOS</v>
      </c>
      <c r="AP7" s="120"/>
      <c r="AQ7" s="120"/>
      <c r="AR7" s="120"/>
      <c r="AS7" s="120"/>
      <c r="AT7" s="120"/>
      <c r="AU7" s="120"/>
      <c r="AV7" s="120"/>
      <c r="AW7" s="120"/>
      <c r="AX7" s="120"/>
      <c r="AY7" s="120"/>
      <c r="AZ7" s="120"/>
      <c r="BA7" s="120"/>
      <c r="BB7" s="120"/>
      <c r="BC7" s="120"/>
      <c r="BD7" s="120"/>
    </row>
    <row r="8" spans="1:56" s="118" customFormat="1" ht="12.75" x14ac:dyDescent="0.2">
      <c r="A8" s="120"/>
      <c r="B8" s="120"/>
      <c r="C8" s="120"/>
      <c r="D8" s="250"/>
      <c r="E8" s="120"/>
      <c r="F8" s="120"/>
      <c r="G8" s="120"/>
      <c r="H8" s="120"/>
      <c r="I8" s="120"/>
      <c r="J8" s="125"/>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9">
        <f t="shared" ref="AJ8:AJ39" si="1">IF(AI8="Información Pública",1,IF(AI8="Información Pública Clasificada",3,IF(AI8="Información Pública Reservada",5,)))</f>
        <v>0</v>
      </c>
      <c r="AK8" s="120"/>
      <c r="AL8" s="129">
        <f t="shared" ref="AL8:AL39" si="2">IF(AK8="Bajo",1,IF(AK8="Medio",3,IF(AK8="Alto",5,)))</f>
        <v>0</v>
      </c>
      <c r="AM8" s="120"/>
      <c r="AN8" s="125"/>
      <c r="AO8" s="129" t="str">
        <f t="shared" si="0"/>
        <v>FALTAN DATOS</v>
      </c>
      <c r="AP8" s="120"/>
      <c r="AQ8" s="120"/>
      <c r="AR8" s="120"/>
      <c r="AS8" s="120"/>
      <c r="AT8" s="120"/>
      <c r="AU8" s="120"/>
      <c r="AV8" s="120"/>
      <c r="AW8" s="120"/>
      <c r="AX8" s="120"/>
      <c r="AY8" s="120"/>
      <c r="AZ8" s="120"/>
      <c r="BA8" s="120"/>
      <c r="BB8" s="120"/>
      <c r="BC8" s="120"/>
      <c r="BD8" s="120"/>
    </row>
    <row r="9" spans="1:56" s="118" customFormat="1" ht="12.75" x14ac:dyDescent="0.2">
      <c r="A9" s="120"/>
      <c r="B9" s="120"/>
      <c r="C9" s="120"/>
      <c r="D9" s="250"/>
      <c r="E9" s="120"/>
      <c r="F9" s="120"/>
      <c r="G9" s="120"/>
      <c r="H9" s="120"/>
      <c r="I9" s="120"/>
      <c r="J9" s="125"/>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9">
        <f t="shared" si="1"/>
        <v>0</v>
      </c>
      <c r="AK9" s="120"/>
      <c r="AL9" s="129">
        <f t="shared" si="2"/>
        <v>0</v>
      </c>
      <c r="AM9" s="120"/>
      <c r="AN9" s="125"/>
      <c r="AO9" s="129" t="str">
        <f t="shared" si="0"/>
        <v>FALTAN DATOS</v>
      </c>
      <c r="AP9" s="120"/>
      <c r="AQ9" s="120"/>
      <c r="AR9" s="120"/>
      <c r="AS9" s="120"/>
      <c r="AT9" s="120"/>
      <c r="AU9" s="120"/>
      <c r="AV9" s="120"/>
      <c r="AW9" s="120"/>
      <c r="AX9" s="120"/>
      <c r="AY9" s="120"/>
      <c r="AZ9" s="120"/>
      <c r="BA9" s="120"/>
      <c r="BB9" s="120"/>
      <c r="BC9" s="120"/>
      <c r="BD9" s="120"/>
    </row>
    <row r="10" spans="1:56" s="118" customFormat="1" ht="12.75" x14ac:dyDescent="0.2">
      <c r="A10" s="120"/>
      <c r="B10" s="120"/>
      <c r="C10" s="120"/>
      <c r="D10" s="250"/>
      <c r="E10" s="120"/>
      <c r="F10" s="120"/>
      <c r="G10" s="120"/>
      <c r="H10" s="120"/>
      <c r="I10" s="120"/>
      <c r="J10" s="125"/>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9">
        <f t="shared" si="1"/>
        <v>0</v>
      </c>
      <c r="AK10" s="120"/>
      <c r="AL10" s="129">
        <f t="shared" si="2"/>
        <v>0</v>
      </c>
      <c r="AM10" s="120"/>
      <c r="AN10" s="125"/>
      <c r="AO10" s="129" t="str">
        <f t="shared" si="0"/>
        <v>FALTAN DATOS</v>
      </c>
      <c r="AP10" s="120"/>
      <c r="AQ10" s="120"/>
      <c r="AR10" s="120"/>
      <c r="AS10" s="120"/>
      <c r="AT10" s="120"/>
      <c r="AU10" s="120"/>
      <c r="AV10" s="120"/>
      <c r="AW10" s="120"/>
      <c r="AX10" s="120"/>
      <c r="AY10" s="120"/>
      <c r="AZ10" s="120"/>
      <c r="BA10" s="120"/>
      <c r="BB10" s="120"/>
      <c r="BC10" s="120"/>
      <c r="BD10" s="120"/>
    </row>
    <row r="11" spans="1:56" s="118" customFormat="1" ht="12.75" x14ac:dyDescent="0.2">
      <c r="A11" s="120"/>
      <c r="B11" s="120"/>
      <c r="C11" s="120"/>
      <c r="D11" s="250"/>
      <c r="E11" s="120"/>
      <c r="F11" s="120"/>
      <c r="G11" s="120"/>
      <c r="H11" s="120"/>
      <c r="I11" s="120"/>
      <c r="J11" s="125"/>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9">
        <f t="shared" si="1"/>
        <v>0</v>
      </c>
      <c r="AK11" s="120"/>
      <c r="AL11" s="129">
        <f t="shared" si="2"/>
        <v>0</v>
      </c>
      <c r="AM11" s="120"/>
      <c r="AN11" s="125"/>
      <c r="AO11" s="129" t="str">
        <f t="shared" si="0"/>
        <v>FALTAN DATOS</v>
      </c>
      <c r="AP11" s="120"/>
      <c r="AQ11" s="120"/>
      <c r="AR11" s="120"/>
      <c r="AS11" s="120"/>
      <c r="AT11" s="120"/>
      <c r="AU11" s="120"/>
      <c r="AV11" s="120"/>
      <c r="AW11" s="120"/>
      <c r="AX11" s="120"/>
      <c r="AY11" s="120"/>
      <c r="AZ11" s="120"/>
      <c r="BA11" s="120"/>
      <c r="BB11" s="120"/>
      <c r="BC11" s="120"/>
      <c r="BD11" s="120"/>
    </row>
    <row r="12" spans="1:56" s="118" customFormat="1" ht="12.75" x14ac:dyDescent="0.2">
      <c r="A12" s="120"/>
      <c r="B12" s="120"/>
      <c r="C12" s="120"/>
      <c r="D12" s="250"/>
      <c r="E12" s="120"/>
      <c r="F12" s="120"/>
      <c r="G12" s="120"/>
      <c r="H12" s="120"/>
      <c r="I12" s="120"/>
      <c r="J12" s="125"/>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9">
        <f t="shared" si="1"/>
        <v>0</v>
      </c>
      <c r="AK12" s="120"/>
      <c r="AL12" s="129">
        <f t="shared" si="2"/>
        <v>0</v>
      </c>
      <c r="AM12" s="120"/>
      <c r="AN12" s="125"/>
      <c r="AO12" s="129" t="str">
        <f t="shared" si="0"/>
        <v>FALTAN DATOS</v>
      </c>
      <c r="AP12" s="120"/>
      <c r="AQ12" s="120"/>
      <c r="AR12" s="120"/>
      <c r="AS12" s="120"/>
      <c r="AT12" s="120"/>
      <c r="AU12" s="120"/>
      <c r="AV12" s="120"/>
      <c r="AW12" s="120"/>
      <c r="AX12" s="120"/>
      <c r="AY12" s="120"/>
      <c r="AZ12" s="120"/>
      <c r="BA12" s="120"/>
      <c r="BB12" s="120"/>
      <c r="BC12" s="120"/>
      <c r="BD12" s="120"/>
    </row>
    <row r="13" spans="1:56" s="118" customFormat="1" ht="12.75" x14ac:dyDescent="0.2">
      <c r="A13" s="120"/>
      <c r="B13" s="120"/>
      <c r="C13" s="120"/>
      <c r="D13" s="250"/>
      <c r="E13" s="120"/>
      <c r="F13" s="120"/>
      <c r="G13" s="120"/>
      <c r="H13" s="120"/>
      <c r="I13" s="120"/>
      <c r="J13" s="125"/>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9">
        <f t="shared" si="1"/>
        <v>0</v>
      </c>
      <c r="AK13" s="120"/>
      <c r="AL13" s="129">
        <f t="shared" si="2"/>
        <v>0</v>
      </c>
      <c r="AM13" s="120"/>
      <c r="AN13" s="125"/>
      <c r="AO13" s="129" t="str">
        <f t="shared" si="0"/>
        <v>FALTAN DATOS</v>
      </c>
      <c r="AP13" s="120"/>
      <c r="AQ13" s="120"/>
      <c r="AR13" s="120"/>
      <c r="AS13" s="120"/>
      <c r="AT13" s="120"/>
      <c r="AU13" s="120"/>
      <c r="AV13" s="120"/>
      <c r="AW13" s="120"/>
      <c r="AX13" s="120"/>
      <c r="AY13" s="120"/>
      <c r="AZ13" s="120"/>
      <c r="BA13" s="120"/>
      <c r="BB13" s="120"/>
      <c r="BC13" s="120"/>
      <c r="BD13" s="120"/>
    </row>
    <row r="14" spans="1:56" s="118" customFormat="1" ht="12.75" x14ac:dyDescent="0.2">
      <c r="A14" s="120"/>
      <c r="B14" s="120"/>
      <c r="C14" s="120"/>
      <c r="D14" s="250"/>
      <c r="E14" s="120"/>
      <c r="F14" s="120"/>
      <c r="G14" s="120"/>
      <c r="H14" s="120"/>
      <c r="I14" s="120"/>
      <c r="J14" s="125"/>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9">
        <f t="shared" si="1"/>
        <v>0</v>
      </c>
      <c r="AK14" s="120"/>
      <c r="AL14" s="129">
        <f t="shared" si="2"/>
        <v>0</v>
      </c>
      <c r="AM14" s="120"/>
      <c r="AN14" s="125"/>
      <c r="AO14" s="129" t="str">
        <f t="shared" si="0"/>
        <v>FALTAN DATOS</v>
      </c>
      <c r="AP14" s="120"/>
      <c r="AQ14" s="120"/>
      <c r="AR14" s="120"/>
      <c r="AS14" s="120"/>
      <c r="AT14" s="120"/>
      <c r="AU14" s="120"/>
      <c r="AV14" s="120"/>
      <c r="AW14" s="120"/>
      <c r="AX14" s="120"/>
      <c r="AY14" s="120"/>
      <c r="AZ14" s="120"/>
      <c r="BA14" s="120"/>
      <c r="BB14" s="120"/>
      <c r="BC14" s="120"/>
      <c r="BD14" s="120"/>
    </row>
    <row r="15" spans="1:56" s="118" customFormat="1" ht="12.75" x14ac:dyDescent="0.2">
      <c r="A15" s="120"/>
      <c r="B15" s="120"/>
      <c r="C15" s="120"/>
      <c r="D15" s="250"/>
      <c r="E15" s="120"/>
      <c r="F15" s="120"/>
      <c r="G15" s="120"/>
      <c r="H15" s="120"/>
      <c r="I15" s="120"/>
      <c r="J15" s="125"/>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9">
        <f t="shared" si="1"/>
        <v>0</v>
      </c>
      <c r="AK15" s="120"/>
      <c r="AL15" s="129">
        <f t="shared" si="2"/>
        <v>0</v>
      </c>
      <c r="AM15" s="120"/>
      <c r="AN15" s="125"/>
      <c r="AO15" s="129" t="str">
        <f t="shared" si="0"/>
        <v>FALTAN DATOS</v>
      </c>
      <c r="AP15" s="120"/>
      <c r="AQ15" s="120"/>
      <c r="AR15" s="120"/>
      <c r="AS15" s="120"/>
      <c r="AT15" s="120"/>
      <c r="AU15" s="120"/>
      <c r="AV15" s="120"/>
      <c r="AW15" s="120"/>
      <c r="AX15" s="120"/>
      <c r="AY15" s="120"/>
      <c r="AZ15" s="120"/>
      <c r="BA15" s="120"/>
      <c r="BB15" s="120"/>
      <c r="BC15" s="120"/>
      <c r="BD15" s="120"/>
    </row>
    <row r="16" spans="1:56" s="118" customFormat="1" ht="12.75" x14ac:dyDescent="0.2">
      <c r="A16" s="120"/>
      <c r="B16" s="120"/>
      <c r="C16" s="120"/>
      <c r="D16" s="250"/>
      <c r="E16" s="120"/>
      <c r="F16" s="120"/>
      <c r="G16" s="120"/>
      <c r="H16" s="120"/>
      <c r="I16" s="120"/>
      <c r="J16" s="125"/>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9">
        <f t="shared" si="1"/>
        <v>0</v>
      </c>
      <c r="AK16" s="120"/>
      <c r="AL16" s="129">
        <f t="shared" si="2"/>
        <v>0</v>
      </c>
      <c r="AM16" s="120"/>
      <c r="AN16" s="125"/>
      <c r="AO16" s="129" t="str">
        <f t="shared" si="0"/>
        <v>FALTAN DATOS</v>
      </c>
      <c r="AP16" s="120"/>
      <c r="AQ16" s="120"/>
      <c r="AR16" s="120"/>
      <c r="AS16" s="120"/>
      <c r="AT16" s="120"/>
      <c r="AU16" s="120"/>
      <c r="AV16" s="120"/>
      <c r="AW16" s="120"/>
      <c r="AX16" s="120"/>
      <c r="AY16" s="120"/>
      <c r="AZ16" s="120"/>
      <c r="BA16" s="120"/>
      <c r="BB16" s="120"/>
      <c r="BC16" s="120"/>
      <c r="BD16" s="120"/>
    </row>
    <row r="17" spans="1:56" s="118" customFormat="1" ht="12.75" x14ac:dyDescent="0.2">
      <c r="A17" s="120"/>
      <c r="B17" s="120"/>
      <c r="C17" s="120"/>
      <c r="D17" s="250"/>
      <c r="E17" s="120"/>
      <c r="F17" s="120"/>
      <c r="G17" s="120"/>
      <c r="H17" s="120"/>
      <c r="I17" s="120"/>
      <c r="J17" s="125"/>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9">
        <f t="shared" si="1"/>
        <v>0</v>
      </c>
      <c r="AK17" s="120"/>
      <c r="AL17" s="129">
        <f t="shared" si="2"/>
        <v>0</v>
      </c>
      <c r="AM17" s="120"/>
      <c r="AN17" s="125"/>
      <c r="AO17" s="129" t="str">
        <f t="shared" si="0"/>
        <v>FALTAN DATOS</v>
      </c>
      <c r="AP17" s="120"/>
      <c r="AQ17" s="120"/>
      <c r="AR17" s="120"/>
      <c r="AS17" s="120"/>
      <c r="AT17" s="120"/>
      <c r="AU17" s="120"/>
      <c r="AV17" s="120"/>
      <c r="AW17" s="120"/>
      <c r="AX17" s="120"/>
      <c r="AY17" s="120"/>
      <c r="AZ17" s="120"/>
      <c r="BA17" s="120"/>
      <c r="BB17" s="120"/>
      <c r="BC17" s="120"/>
      <c r="BD17" s="120"/>
    </row>
    <row r="18" spans="1:56" s="118" customFormat="1" ht="12.75" x14ac:dyDescent="0.2">
      <c r="A18" s="120"/>
      <c r="B18" s="120"/>
      <c r="C18" s="120"/>
      <c r="D18" s="250"/>
      <c r="E18" s="120"/>
      <c r="F18" s="120"/>
      <c r="G18" s="120"/>
      <c r="H18" s="120"/>
      <c r="I18" s="120"/>
      <c r="J18" s="125"/>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9">
        <f t="shared" si="1"/>
        <v>0</v>
      </c>
      <c r="AK18" s="120"/>
      <c r="AL18" s="129">
        <f t="shared" si="2"/>
        <v>0</v>
      </c>
      <c r="AM18" s="120"/>
      <c r="AN18" s="125"/>
      <c r="AO18" s="129" t="str">
        <f t="shared" si="0"/>
        <v>FALTAN DATOS</v>
      </c>
      <c r="AP18" s="120"/>
      <c r="AQ18" s="120"/>
      <c r="AR18" s="120"/>
      <c r="AS18" s="120"/>
      <c r="AT18" s="120"/>
      <c r="AU18" s="120"/>
      <c r="AV18" s="120"/>
      <c r="AW18" s="120"/>
      <c r="AX18" s="120"/>
      <c r="AY18" s="120"/>
      <c r="AZ18" s="120"/>
      <c r="BA18" s="120"/>
      <c r="BB18" s="120"/>
      <c r="BC18" s="120"/>
      <c r="BD18" s="120"/>
    </row>
    <row r="19" spans="1:56" s="118" customFormat="1" ht="12.75" x14ac:dyDescent="0.2">
      <c r="A19" s="120"/>
      <c r="B19" s="120"/>
      <c r="C19" s="120"/>
      <c r="D19" s="250"/>
      <c r="E19" s="120"/>
      <c r="F19" s="120"/>
      <c r="G19" s="120"/>
      <c r="H19" s="120"/>
      <c r="I19" s="120"/>
      <c r="J19" s="125"/>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9">
        <f t="shared" si="1"/>
        <v>0</v>
      </c>
      <c r="AK19" s="120"/>
      <c r="AL19" s="129">
        <f t="shared" si="2"/>
        <v>0</v>
      </c>
      <c r="AM19" s="120"/>
      <c r="AN19" s="125"/>
      <c r="AO19" s="129" t="str">
        <f t="shared" si="0"/>
        <v>FALTAN DATOS</v>
      </c>
      <c r="AP19" s="120"/>
      <c r="AQ19" s="120"/>
      <c r="AR19" s="120"/>
      <c r="AS19" s="120"/>
      <c r="AT19" s="120"/>
      <c r="AU19" s="120"/>
      <c r="AV19" s="120"/>
      <c r="AW19" s="120"/>
      <c r="AX19" s="120"/>
      <c r="AY19" s="120"/>
      <c r="AZ19" s="120"/>
      <c r="BA19" s="120"/>
      <c r="BB19" s="120"/>
      <c r="BC19" s="120"/>
      <c r="BD19" s="120"/>
    </row>
    <row r="20" spans="1:56" s="118" customFormat="1" ht="12.75" x14ac:dyDescent="0.2">
      <c r="A20" s="120"/>
      <c r="B20" s="120"/>
      <c r="C20" s="120"/>
      <c r="D20" s="250"/>
      <c r="E20" s="120"/>
      <c r="F20" s="120"/>
      <c r="G20" s="120"/>
      <c r="H20" s="120"/>
      <c r="I20" s="120"/>
      <c r="J20" s="125"/>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9">
        <f t="shared" si="1"/>
        <v>0</v>
      </c>
      <c r="AK20" s="120"/>
      <c r="AL20" s="129">
        <f t="shared" si="2"/>
        <v>0</v>
      </c>
      <c r="AM20" s="120"/>
      <c r="AN20" s="125"/>
      <c r="AO20" s="129" t="str">
        <f t="shared" si="0"/>
        <v>FALTAN DATOS</v>
      </c>
      <c r="AP20" s="120"/>
      <c r="AQ20" s="120"/>
      <c r="AR20" s="120"/>
      <c r="AS20" s="120"/>
      <c r="AT20" s="120"/>
      <c r="AU20" s="120"/>
      <c r="AV20" s="120"/>
      <c r="AW20" s="120"/>
      <c r="AX20" s="120"/>
      <c r="AY20" s="120"/>
      <c r="AZ20" s="120"/>
      <c r="BA20" s="120"/>
      <c r="BB20" s="120"/>
      <c r="BC20" s="120"/>
      <c r="BD20" s="120"/>
    </row>
    <row r="21" spans="1:56" s="118" customFormat="1" ht="12.75" x14ac:dyDescent="0.2">
      <c r="A21" s="120"/>
      <c r="B21" s="120"/>
      <c r="C21" s="120"/>
      <c r="D21" s="250"/>
      <c r="E21" s="120"/>
      <c r="F21" s="120"/>
      <c r="G21" s="120"/>
      <c r="H21" s="120"/>
      <c r="I21" s="120"/>
      <c r="J21" s="125"/>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9">
        <f t="shared" si="1"/>
        <v>0</v>
      </c>
      <c r="AK21" s="120"/>
      <c r="AL21" s="129">
        <f t="shared" si="2"/>
        <v>0</v>
      </c>
      <c r="AM21" s="120"/>
      <c r="AN21" s="125"/>
      <c r="AO21" s="129" t="str">
        <f t="shared" si="0"/>
        <v>FALTAN DATOS</v>
      </c>
      <c r="AP21" s="120"/>
      <c r="AQ21" s="120"/>
      <c r="AR21" s="120"/>
      <c r="AS21" s="120"/>
      <c r="AT21" s="120"/>
      <c r="AU21" s="120"/>
      <c r="AV21" s="120"/>
      <c r="AW21" s="120"/>
      <c r="AX21" s="120"/>
      <c r="AY21" s="120"/>
      <c r="AZ21" s="120"/>
      <c r="BA21" s="120"/>
      <c r="BB21" s="120"/>
      <c r="BC21" s="120"/>
      <c r="BD21" s="120"/>
    </row>
    <row r="22" spans="1:56" s="118" customFormat="1" ht="12.75" x14ac:dyDescent="0.2">
      <c r="A22" s="120"/>
      <c r="B22" s="120"/>
      <c r="C22" s="120"/>
      <c r="D22" s="250"/>
      <c r="E22" s="120"/>
      <c r="F22" s="120"/>
      <c r="G22" s="120"/>
      <c r="H22" s="120"/>
      <c r="I22" s="120"/>
      <c r="J22" s="125"/>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9">
        <f t="shared" si="1"/>
        <v>0</v>
      </c>
      <c r="AK22" s="120"/>
      <c r="AL22" s="129">
        <f t="shared" si="2"/>
        <v>0</v>
      </c>
      <c r="AM22" s="120"/>
      <c r="AN22" s="125"/>
      <c r="AO22" s="129" t="str">
        <f t="shared" si="0"/>
        <v>FALTAN DATOS</v>
      </c>
      <c r="AP22" s="120"/>
      <c r="AQ22" s="120"/>
      <c r="AR22" s="120"/>
      <c r="AS22" s="120"/>
      <c r="AT22" s="120"/>
      <c r="AU22" s="120"/>
      <c r="AV22" s="120"/>
      <c r="AW22" s="120"/>
      <c r="AX22" s="120"/>
      <c r="AY22" s="120"/>
      <c r="AZ22" s="120"/>
      <c r="BA22" s="120"/>
      <c r="BB22" s="120"/>
      <c r="BC22" s="120"/>
      <c r="BD22" s="120"/>
    </row>
    <row r="23" spans="1:56" s="118" customFormat="1" ht="12.75" x14ac:dyDescent="0.2">
      <c r="A23" s="120"/>
      <c r="B23" s="120"/>
      <c r="C23" s="120"/>
      <c r="D23" s="250"/>
      <c r="E23" s="120"/>
      <c r="F23" s="120"/>
      <c r="G23" s="120"/>
      <c r="H23" s="120"/>
      <c r="I23" s="120"/>
      <c r="J23" s="125"/>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9">
        <f t="shared" si="1"/>
        <v>0</v>
      </c>
      <c r="AK23" s="120"/>
      <c r="AL23" s="129">
        <f t="shared" si="2"/>
        <v>0</v>
      </c>
      <c r="AM23" s="120"/>
      <c r="AN23" s="125"/>
      <c r="AO23" s="129" t="str">
        <f t="shared" si="0"/>
        <v>FALTAN DATOS</v>
      </c>
      <c r="AP23" s="120"/>
      <c r="AQ23" s="120"/>
      <c r="AR23" s="120"/>
      <c r="AS23" s="120"/>
      <c r="AT23" s="120"/>
      <c r="AU23" s="120"/>
      <c r="AV23" s="120"/>
      <c r="AW23" s="120"/>
      <c r="AX23" s="120"/>
      <c r="AY23" s="120"/>
      <c r="AZ23" s="120"/>
      <c r="BA23" s="120"/>
      <c r="BB23" s="120"/>
      <c r="BC23" s="120"/>
      <c r="BD23" s="120"/>
    </row>
    <row r="24" spans="1:56" s="118" customFormat="1" ht="12.75" x14ac:dyDescent="0.2">
      <c r="A24" s="120"/>
      <c r="B24" s="120"/>
      <c r="C24" s="120"/>
      <c r="D24" s="250"/>
      <c r="E24" s="120"/>
      <c r="F24" s="120"/>
      <c r="G24" s="120"/>
      <c r="H24" s="120"/>
      <c r="I24" s="120"/>
      <c r="J24" s="125"/>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9">
        <f t="shared" si="1"/>
        <v>0</v>
      </c>
      <c r="AK24" s="120"/>
      <c r="AL24" s="129">
        <f t="shared" si="2"/>
        <v>0</v>
      </c>
      <c r="AM24" s="120"/>
      <c r="AN24" s="125"/>
      <c r="AO24" s="129" t="str">
        <f t="shared" si="0"/>
        <v>FALTAN DATOS</v>
      </c>
      <c r="AP24" s="120"/>
      <c r="AQ24" s="120"/>
      <c r="AR24" s="120"/>
      <c r="AS24" s="120"/>
      <c r="AT24" s="120"/>
      <c r="AU24" s="120"/>
      <c r="AV24" s="120"/>
      <c r="AW24" s="120"/>
      <c r="AX24" s="120"/>
      <c r="AY24" s="120"/>
      <c r="AZ24" s="120"/>
      <c r="BA24" s="120"/>
      <c r="BB24" s="120"/>
      <c r="BC24" s="120"/>
      <c r="BD24" s="120"/>
    </row>
    <row r="25" spans="1:56" s="118" customFormat="1" ht="12.75" x14ac:dyDescent="0.2">
      <c r="A25" s="120"/>
      <c r="B25" s="120"/>
      <c r="C25" s="120"/>
      <c r="D25" s="250"/>
      <c r="E25" s="120"/>
      <c r="F25" s="120"/>
      <c r="G25" s="120"/>
      <c r="H25" s="120"/>
      <c r="I25" s="120"/>
      <c r="J25" s="125"/>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9">
        <f t="shared" si="1"/>
        <v>0</v>
      </c>
      <c r="AK25" s="120"/>
      <c r="AL25" s="129">
        <f t="shared" si="2"/>
        <v>0</v>
      </c>
      <c r="AM25" s="120"/>
      <c r="AN25" s="125"/>
      <c r="AO25" s="129" t="str">
        <f t="shared" si="0"/>
        <v>FALTAN DATOS</v>
      </c>
      <c r="AP25" s="120"/>
      <c r="AQ25" s="120"/>
      <c r="AR25" s="120"/>
      <c r="AS25" s="120"/>
      <c r="AT25" s="120"/>
      <c r="AU25" s="120"/>
      <c r="AV25" s="120"/>
      <c r="AW25" s="120"/>
      <c r="AX25" s="120"/>
      <c r="AY25" s="120"/>
      <c r="AZ25" s="120"/>
      <c r="BA25" s="120"/>
      <c r="BB25" s="120"/>
      <c r="BC25" s="120"/>
      <c r="BD25" s="120"/>
    </row>
    <row r="26" spans="1:56" s="118" customFormat="1" ht="12.75" x14ac:dyDescent="0.2">
      <c r="A26" s="120"/>
      <c r="B26" s="120"/>
      <c r="C26" s="120"/>
      <c r="D26" s="250"/>
      <c r="E26" s="120"/>
      <c r="F26" s="120"/>
      <c r="G26" s="120"/>
      <c r="H26" s="120"/>
      <c r="I26" s="120"/>
      <c r="J26" s="125"/>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9">
        <f t="shared" si="1"/>
        <v>0</v>
      </c>
      <c r="AK26" s="120"/>
      <c r="AL26" s="129">
        <f t="shared" si="2"/>
        <v>0</v>
      </c>
      <c r="AM26" s="120"/>
      <c r="AN26" s="125"/>
      <c r="AO26" s="129" t="str">
        <f t="shared" si="0"/>
        <v>FALTAN DATOS</v>
      </c>
      <c r="AP26" s="120"/>
      <c r="AQ26" s="120"/>
      <c r="AR26" s="120"/>
      <c r="AS26" s="120"/>
      <c r="AT26" s="120"/>
      <c r="AU26" s="120"/>
      <c r="AV26" s="120"/>
      <c r="AW26" s="120"/>
      <c r="AX26" s="120"/>
      <c r="AY26" s="120"/>
      <c r="AZ26" s="120"/>
      <c r="BA26" s="120"/>
      <c r="BB26" s="120"/>
      <c r="BC26" s="120"/>
      <c r="BD26" s="120"/>
    </row>
    <row r="27" spans="1:56" s="118" customFormat="1" ht="12.75" x14ac:dyDescent="0.2">
      <c r="A27" s="120"/>
      <c r="B27" s="120"/>
      <c r="C27" s="120"/>
      <c r="D27" s="250"/>
      <c r="E27" s="120"/>
      <c r="F27" s="120"/>
      <c r="G27" s="120"/>
      <c r="H27" s="120"/>
      <c r="I27" s="120"/>
      <c r="J27" s="125"/>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9">
        <f t="shared" si="1"/>
        <v>0</v>
      </c>
      <c r="AK27" s="120"/>
      <c r="AL27" s="129">
        <f t="shared" si="2"/>
        <v>0</v>
      </c>
      <c r="AM27" s="120"/>
      <c r="AN27" s="125"/>
      <c r="AO27" s="129" t="str">
        <f t="shared" si="0"/>
        <v>FALTAN DATOS</v>
      </c>
      <c r="AP27" s="120"/>
      <c r="AQ27" s="120"/>
      <c r="AR27" s="120"/>
      <c r="AS27" s="120"/>
      <c r="AT27" s="120"/>
      <c r="AU27" s="120"/>
      <c r="AV27" s="120"/>
      <c r="AW27" s="120"/>
      <c r="AX27" s="120"/>
      <c r="AY27" s="120"/>
      <c r="AZ27" s="120"/>
      <c r="BA27" s="120"/>
      <c r="BB27" s="120"/>
      <c r="BC27" s="120"/>
      <c r="BD27" s="120"/>
    </row>
    <row r="28" spans="1:56" s="118" customFormat="1" ht="12.75" x14ac:dyDescent="0.2">
      <c r="A28" s="120"/>
      <c r="B28" s="120"/>
      <c r="C28" s="120"/>
      <c r="D28" s="250"/>
      <c r="E28" s="120"/>
      <c r="F28" s="120"/>
      <c r="G28" s="120"/>
      <c r="H28" s="120"/>
      <c r="I28" s="120"/>
      <c r="J28" s="125"/>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9">
        <f t="shared" si="1"/>
        <v>0</v>
      </c>
      <c r="AK28" s="120"/>
      <c r="AL28" s="129">
        <f t="shared" si="2"/>
        <v>0</v>
      </c>
      <c r="AM28" s="120"/>
      <c r="AN28" s="125"/>
      <c r="AO28" s="129" t="str">
        <f t="shared" si="0"/>
        <v>FALTAN DATOS</v>
      </c>
      <c r="AP28" s="120"/>
      <c r="AQ28" s="120"/>
      <c r="AR28" s="120"/>
      <c r="AS28" s="120"/>
      <c r="AT28" s="120"/>
      <c r="AU28" s="120"/>
      <c r="AV28" s="120"/>
      <c r="AW28" s="120"/>
      <c r="AX28" s="120"/>
      <c r="AY28" s="120"/>
      <c r="AZ28" s="120"/>
      <c r="BA28" s="120"/>
      <c r="BB28" s="120"/>
      <c r="BC28" s="120"/>
      <c r="BD28" s="120"/>
    </row>
    <row r="29" spans="1:56" s="118" customFormat="1" ht="12.75" x14ac:dyDescent="0.2">
      <c r="A29" s="120"/>
      <c r="B29" s="120"/>
      <c r="C29" s="120"/>
      <c r="D29" s="250"/>
      <c r="E29" s="120"/>
      <c r="F29" s="120"/>
      <c r="G29" s="120"/>
      <c r="H29" s="120"/>
      <c r="I29" s="120"/>
      <c r="J29" s="125"/>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9">
        <f t="shared" si="1"/>
        <v>0</v>
      </c>
      <c r="AK29" s="120"/>
      <c r="AL29" s="129">
        <f t="shared" si="2"/>
        <v>0</v>
      </c>
      <c r="AM29" s="120"/>
      <c r="AN29" s="125"/>
      <c r="AO29" s="129" t="str">
        <f t="shared" si="0"/>
        <v>FALTAN DATOS</v>
      </c>
      <c r="AP29" s="120"/>
      <c r="AQ29" s="120"/>
      <c r="AR29" s="120"/>
      <c r="AS29" s="120"/>
      <c r="AT29" s="120"/>
      <c r="AU29" s="120"/>
      <c r="AV29" s="120"/>
      <c r="AW29" s="120"/>
      <c r="AX29" s="120"/>
      <c r="AY29" s="120"/>
      <c r="AZ29" s="120"/>
      <c r="BA29" s="120"/>
      <c r="BB29" s="120"/>
      <c r="BC29" s="120"/>
      <c r="BD29" s="120"/>
    </row>
    <row r="30" spans="1:56" s="118" customFormat="1" ht="12.75" x14ac:dyDescent="0.2">
      <c r="A30" s="120"/>
      <c r="B30" s="120"/>
      <c r="C30" s="120"/>
      <c r="D30" s="250"/>
      <c r="E30" s="120"/>
      <c r="F30" s="120"/>
      <c r="G30" s="120"/>
      <c r="H30" s="120"/>
      <c r="I30" s="120"/>
      <c r="J30" s="125"/>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9">
        <f t="shared" si="1"/>
        <v>0</v>
      </c>
      <c r="AK30" s="120"/>
      <c r="AL30" s="129">
        <f t="shared" si="2"/>
        <v>0</v>
      </c>
      <c r="AM30" s="120"/>
      <c r="AN30" s="125"/>
      <c r="AO30" s="129" t="str">
        <f t="shared" si="0"/>
        <v>FALTAN DATOS</v>
      </c>
      <c r="AP30" s="120"/>
      <c r="AQ30" s="120"/>
      <c r="AR30" s="120"/>
      <c r="AS30" s="120"/>
      <c r="AT30" s="120"/>
      <c r="AU30" s="120"/>
      <c r="AV30" s="120"/>
      <c r="AW30" s="120"/>
      <c r="AX30" s="120"/>
      <c r="AY30" s="120"/>
      <c r="AZ30" s="120"/>
      <c r="BA30" s="120"/>
      <c r="BB30" s="120"/>
      <c r="BC30" s="120"/>
      <c r="BD30" s="120"/>
    </row>
    <row r="31" spans="1:56" s="118" customFormat="1" ht="12.75" x14ac:dyDescent="0.2">
      <c r="A31" s="120"/>
      <c r="B31" s="120"/>
      <c r="C31" s="120"/>
      <c r="D31" s="250"/>
      <c r="E31" s="120"/>
      <c r="F31" s="120"/>
      <c r="G31" s="120"/>
      <c r="H31" s="120"/>
      <c r="I31" s="120"/>
      <c r="J31" s="125"/>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9">
        <f t="shared" si="1"/>
        <v>0</v>
      </c>
      <c r="AK31" s="120"/>
      <c r="AL31" s="129">
        <f t="shared" si="2"/>
        <v>0</v>
      </c>
      <c r="AM31" s="120"/>
      <c r="AN31" s="125"/>
      <c r="AO31" s="129" t="str">
        <f t="shared" si="0"/>
        <v>FALTAN DATOS</v>
      </c>
      <c r="AP31" s="120"/>
      <c r="AQ31" s="120"/>
      <c r="AR31" s="120"/>
      <c r="AS31" s="120"/>
      <c r="AT31" s="120"/>
      <c r="AU31" s="120"/>
      <c r="AV31" s="120"/>
      <c r="AW31" s="120"/>
      <c r="AX31" s="120"/>
      <c r="AY31" s="120"/>
      <c r="AZ31" s="120"/>
      <c r="BA31" s="120"/>
      <c r="BB31" s="120"/>
      <c r="BC31" s="120"/>
      <c r="BD31" s="120"/>
    </row>
    <row r="32" spans="1:56" s="118" customFormat="1" ht="12.75" x14ac:dyDescent="0.2">
      <c r="A32" s="120"/>
      <c r="B32" s="120"/>
      <c r="C32" s="120"/>
      <c r="D32" s="250"/>
      <c r="E32" s="120"/>
      <c r="F32" s="120"/>
      <c r="G32" s="120"/>
      <c r="H32" s="120"/>
      <c r="I32" s="120"/>
      <c r="J32" s="125"/>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9">
        <f t="shared" si="1"/>
        <v>0</v>
      </c>
      <c r="AK32" s="120"/>
      <c r="AL32" s="129">
        <f t="shared" si="2"/>
        <v>0</v>
      </c>
      <c r="AM32" s="120"/>
      <c r="AN32" s="125"/>
      <c r="AO32" s="129" t="str">
        <f t="shared" si="0"/>
        <v>FALTAN DATOS</v>
      </c>
      <c r="AP32" s="120"/>
      <c r="AQ32" s="120"/>
      <c r="AR32" s="120"/>
      <c r="AS32" s="120"/>
      <c r="AT32" s="120"/>
      <c r="AU32" s="120"/>
      <c r="AV32" s="120"/>
      <c r="AW32" s="120"/>
      <c r="AX32" s="120"/>
      <c r="AY32" s="120"/>
      <c r="AZ32" s="120"/>
      <c r="BA32" s="120"/>
      <c r="BB32" s="120"/>
      <c r="BC32" s="120"/>
      <c r="BD32" s="120"/>
    </row>
    <row r="33" spans="1:56" s="118" customFormat="1" ht="12.75" x14ac:dyDescent="0.2">
      <c r="A33" s="120"/>
      <c r="B33" s="120"/>
      <c r="C33" s="120"/>
      <c r="D33" s="250"/>
      <c r="E33" s="120"/>
      <c r="F33" s="120"/>
      <c r="G33" s="120"/>
      <c r="H33" s="120"/>
      <c r="I33" s="120"/>
      <c r="J33" s="125"/>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9">
        <f t="shared" si="1"/>
        <v>0</v>
      </c>
      <c r="AK33" s="120"/>
      <c r="AL33" s="129">
        <f t="shared" si="2"/>
        <v>0</v>
      </c>
      <c r="AM33" s="120"/>
      <c r="AN33" s="125"/>
      <c r="AO33" s="129" t="str">
        <f t="shared" si="0"/>
        <v>FALTAN DATOS</v>
      </c>
      <c r="AP33" s="120"/>
      <c r="AQ33" s="120"/>
      <c r="AR33" s="120"/>
      <c r="AS33" s="120"/>
      <c r="AT33" s="120"/>
      <c r="AU33" s="120"/>
      <c r="AV33" s="120"/>
      <c r="AW33" s="120"/>
      <c r="AX33" s="120"/>
      <c r="AY33" s="120"/>
      <c r="AZ33" s="120"/>
      <c r="BA33" s="120"/>
      <c r="BB33" s="120"/>
      <c r="BC33" s="120"/>
      <c r="BD33" s="120"/>
    </row>
    <row r="34" spans="1:56" s="118" customFormat="1" ht="12.75" x14ac:dyDescent="0.2">
      <c r="A34" s="120"/>
      <c r="B34" s="120"/>
      <c r="C34" s="120"/>
      <c r="D34" s="250"/>
      <c r="E34" s="120"/>
      <c r="F34" s="120"/>
      <c r="G34" s="120"/>
      <c r="H34" s="120"/>
      <c r="I34" s="120"/>
      <c r="J34" s="125"/>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9">
        <f t="shared" si="1"/>
        <v>0</v>
      </c>
      <c r="AK34" s="120"/>
      <c r="AL34" s="129">
        <f t="shared" si="2"/>
        <v>0</v>
      </c>
      <c r="AM34" s="120"/>
      <c r="AN34" s="125"/>
      <c r="AO34" s="129" t="str">
        <f t="shared" si="0"/>
        <v>FALTAN DATOS</v>
      </c>
      <c r="AP34" s="120"/>
      <c r="AQ34" s="120"/>
      <c r="AR34" s="120"/>
      <c r="AS34" s="120"/>
      <c r="AT34" s="120"/>
      <c r="AU34" s="120"/>
      <c r="AV34" s="120"/>
      <c r="AW34" s="120"/>
      <c r="AX34" s="120"/>
      <c r="AY34" s="120"/>
      <c r="AZ34" s="120"/>
      <c r="BA34" s="120"/>
      <c r="BB34" s="120"/>
      <c r="BC34" s="120"/>
      <c r="BD34" s="120"/>
    </row>
    <row r="35" spans="1:56" s="118" customFormat="1" ht="12.75" x14ac:dyDescent="0.2">
      <c r="A35" s="120"/>
      <c r="B35" s="120"/>
      <c r="C35" s="120"/>
      <c r="D35" s="250"/>
      <c r="E35" s="120"/>
      <c r="F35" s="120"/>
      <c r="G35" s="120"/>
      <c r="H35" s="120"/>
      <c r="I35" s="120"/>
      <c r="J35" s="125"/>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9">
        <f t="shared" si="1"/>
        <v>0</v>
      </c>
      <c r="AK35" s="120"/>
      <c r="AL35" s="129">
        <f t="shared" si="2"/>
        <v>0</v>
      </c>
      <c r="AM35" s="120"/>
      <c r="AN35" s="125"/>
      <c r="AO35" s="129" t="str">
        <f t="shared" si="0"/>
        <v>FALTAN DATOS</v>
      </c>
      <c r="AP35" s="120"/>
      <c r="AQ35" s="120"/>
      <c r="AR35" s="120"/>
      <c r="AS35" s="120"/>
      <c r="AT35" s="120"/>
      <c r="AU35" s="120"/>
      <c r="AV35" s="120"/>
      <c r="AW35" s="120"/>
      <c r="AX35" s="120"/>
      <c r="AY35" s="120"/>
      <c r="AZ35" s="120"/>
      <c r="BA35" s="120"/>
      <c r="BB35" s="120"/>
      <c r="BC35" s="120"/>
      <c r="BD35" s="120"/>
    </row>
    <row r="36" spans="1:56" s="118" customFormat="1" ht="12.75" x14ac:dyDescent="0.2">
      <c r="A36" s="120"/>
      <c r="B36" s="120"/>
      <c r="C36" s="120"/>
      <c r="D36" s="250"/>
      <c r="E36" s="120"/>
      <c r="F36" s="120"/>
      <c r="G36" s="120"/>
      <c r="H36" s="120"/>
      <c r="I36" s="120"/>
      <c r="J36" s="125"/>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9">
        <f t="shared" si="1"/>
        <v>0</v>
      </c>
      <c r="AK36" s="120"/>
      <c r="AL36" s="129">
        <f t="shared" si="2"/>
        <v>0</v>
      </c>
      <c r="AM36" s="120"/>
      <c r="AN36" s="125"/>
      <c r="AO36" s="129" t="str">
        <f t="shared" si="0"/>
        <v>FALTAN DATOS</v>
      </c>
      <c r="AP36" s="120"/>
      <c r="AQ36" s="120"/>
      <c r="AR36" s="120"/>
      <c r="AS36" s="120"/>
      <c r="AT36" s="120"/>
      <c r="AU36" s="120"/>
      <c r="AV36" s="120"/>
      <c r="AW36" s="120"/>
      <c r="AX36" s="120"/>
      <c r="AY36" s="120"/>
      <c r="AZ36" s="120"/>
      <c r="BA36" s="120"/>
      <c r="BB36" s="120"/>
      <c r="BC36" s="120"/>
      <c r="BD36" s="120"/>
    </row>
    <row r="37" spans="1:56" s="118" customFormat="1" ht="12.75" x14ac:dyDescent="0.2">
      <c r="A37" s="120"/>
      <c r="B37" s="120"/>
      <c r="C37" s="120"/>
      <c r="D37" s="250"/>
      <c r="E37" s="120"/>
      <c r="F37" s="120"/>
      <c r="G37" s="120"/>
      <c r="H37" s="120"/>
      <c r="I37" s="120"/>
      <c r="J37" s="125"/>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9">
        <f t="shared" si="1"/>
        <v>0</v>
      </c>
      <c r="AK37" s="120"/>
      <c r="AL37" s="129">
        <f t="shared" si="2"/>
        <v>0</v>
      </c>
      <c r="AM37" s="120"/>
      <c r="AN37" s="125"/>
      <c r="AO37" s="129" t="str">
        <f t="shared" si="0"/>
        <v>FALTAN DATOS</v>
      </c>
      <c r="AP37" s="120"/>
      <c r="AQ37" s="120"/>
      <c r="AR37" s="120"/>
      <c r="AS37" s="120"/>
      <c r="AT37" s="120"/>
      <c r="AU37" s="120"/>
      <c r="AV37" s="120"/>
      <c r="AW37" s="120"/>
      <c r="AX37" s="120"/>
      <c r="AY37" s="120"/>
      <c r="AZ37" s="120"/>
      <c r="BA37" s="120"/>
      <c r="BB37" s="120"/>
      <c r="BC37" s="120"/>
      <c r="BD37" s="120"/>
    </row>
    <row r="38" spans="1:56" s="118" customFormat="1" ht="12.75" x14ac:dyDescent="0.2">
      <c r="A38" s="120"/>
      <c r="B38" s="120"/>
      <c r="C38" s="120"/>
      <c r="D38" s="250"/>
      <c r="E38" s="120"/>
      <c r="F38" s="120"/>
      <c r="G38" s="120"/>
      <c r="H38" s="120"/>
      <c r="I38" s="120"/>
      <c r="J38" s="125"/>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9">
        <f t="shared" si="1"/>
        <v>0</v>
      </c>
      <c r="AK38" s="120"/>
      <c r="AL38" s="129">
        <f t="shared" si="2"/>
        <v>0</v>
      </c>
      <c r="AM38" s="120"/>
      <c r="AN38" s="125"/>
      <c r="AO38" s="129" t="str">
        <f t="shared" si="0"/>
        <v>FALTAN DATOS</v>
      </c>
      <c r="AP38" s="120"/>
      <c r="AQ38" s="120"/>
      <c r="AR38" s="120"/>
      <c r="AS38" s="120"/>
      <c r="AT38" s="120"/>
      <c r="AU38" s="120"/>
      <c r="AV38" s="120"/>
      <c r="AW38" s="120"/>
      <c r="AX38" s="120"/>
      <c r="AY38" s="120"/>
      <c r="AZ38" s="120"/>
      <c r="BA38" s="120"/>
      <c r="BB38" s="120"/>
      <c r="BC38" s="120"/>
      <c r="BD38" s="120"/>
    </row>
    <row r="39" spans="1:56" s="118" customFormat="1" ht="12.75" x14ac:dyDescent="0.2">
      <c r="A39" s="120"/>
      <c r="B39" s="120"/>
      <c r="C39" s="120"/>
      <c r="D39" s="250"/>
      <c r="E39" s="120"/>
      <c r="F39" s="120"/>
      <c r="G39" s="120"/>
      <c r="H39" s="120"/>
      <c r="I39" s="120"/>
      <c r="J39" s="125"/>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9">
        <f t="shared" si="1"/>
        <v>0</v>
      </c>
      <c r="AK39" s="120"/>
      <c r="AL39" s="129">
        <f t="shared" si="2"/>
        <v>0</v>
      </c>
      <c r="AM39" s="120"/>
      <c r="AN39" s="125"/>
      <c r="AO39" s="129" t="str">
        <f t="shared" ref="AO39:AO70" si="3">IF(OR(AJ39=0,AL39=0,AN39=0),"FALTAN DATOS",IF(AND(AJ39=1,AL39=1,AN39=1),"BAJO",(IF(OR(AND(AJ39=5,AL39=5),AND(AL39=5,AN39=5),AND(AJ39=5,AN39=5),AND(AJ39=5,AL39=5,AN39=5)),"ALTA","MEDIA"))))</f>
        <v>FALTAN DATOS</v>
      </c>
      <c r="AP39" s="120"/>
      <c r="AQ39" s="120"/>
      <c r="AR39" s="120"/>
      <c r="AS39" s="120"/>
      <c r="AT39" s="120"/>
      <c r="AU39" s="120"/>
      <c r="AV39" s="120"/>
      <c r="AW39" s="120"/>
      <c r="AX39" s="120"/>
      <c r="AY39" s="120"/>
      <c r="AZ39" s="120"/>
      <c r="BA39" s="120"/>
      <c r="BB39" s="120"/>
      <c r="BC39" s="120"/>
      <c r="BD39" s="120"/>
    </row>
    <row r="40" spans="1:56" s="118" customFormat="1" ht="12.75" x14ac:dyDescent="0.2">
      <c r="A40" s="120"/>
      <c r="B40" s="120"/>
      <c r="C40" s="120"/>
      <c r="D40" s="250"/>
      <c r="E40" s="120"/>
      <c r="F40" s="120"/>
      <c r="G40" s="120"/>
      <c r="H40" s="120"/>
      <c r="I40" s="120"/>
      <c r="J40" s="125"/>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9">
        <f t="shared" ref="AJ40:AJ71" si="4">IF(AI40="Información Pública",1,IF(AI40="Información Pública Clasificada",3,IF(AI40="Información Pública Reservada",5,)))</f>
        <v>0</v>
      </c>
      <c r="AK40" s="120"/>
      <c r="AL40" s="129">
        <f t="shared" ref="AL40:AL71" si="5">IF(AK40="Bajo",1,IF(AK40="Medio",3,IF(AK40="Alto",5,)))</f>
        <v>0</v>
      </c>
      <c r="AM40" s="120"/>
      <c r="AN40" s="125"/>
      <c r="AO40" s="129" t="str">
        <f t="shared" si="3"/>
        <v>FALTAN DATOS</v>
      </c>
      <c r="AP40" s="120"/>
      <c r="AQ40" s="120"/>
      <c r="AR40" s="120"/>
      <c r="AS40" s="120"/>
      <c r="AT40" s="120"/>
      <c r="AU40" s="120"/>
      <c r="AV40" s="120"/>
      <c r="AW40" s="120"/>
      <c r="AX40" s="120"/>
      <c r="AY40" s="120"/>
      <c r="AZ40" s="120"/>
      <c r="BA40" s="120"/>
      <c r="BB40" s="120"/>
      <c r="BC40" s="120"/>
      <c r="BD40" s="120"/>
    </row>
    <row r="41" spans="1:56" s="118" customFormat="1" ht="12.75" x14ac:dyDescent="0.2">
      <c r="A41" s="120"/>
      <c r="B41" s="120"/>
      <c r="C41" s="120"/>
      <c r="D41" s="250"/>
      <c r="E41" s="120"/>
      <c r="F41" s="120"/>
      <c r="G41" s="120"/>
      <c r="H41" s="120"/>
      <c r="I41" s="120"/>
      <c r="J41" s="125"/>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9">
        <f t="shared" si="4"/>
        <v>0</v>
      </c>
      <c r="AK41" s="120"/>
      <c r="AL41" s="129">
        <f t="shared" si="5"/>
        <v>0</v>
      </c>
      <c r="AM41" s="120"/>
      <c r="AN41" s="125"/>
      <c r="AO41" s="129" t="str">
        <f t="shared" si="3"/>
        <v>FALTAN DATOS</v>
      </c>
      <c r="AP41" s="120"/>
      <c r="AQ41" s="120"/>
      <c r="AR41" s="120"/>
      <c r="AS41" s="120"/>
      <c r="AT41" s="120"/>
      <c r="AU41" s="120"/>
      <c r="AV41" s="120"/>
      <c r="AW41" s="120"/>
      <c r="AX41" s="120"/>
      <c r="AY41" s="120"/>
      <c r="AZ41" s="120"/>
      <c r="BA41" s="120"/>
      <c r="BB41" s="120"/>
      <c r="BC41" s="120"/>
      <c r="BD41" s="120"/>
    </row>
    <row r="42" spans="1:56" s="118" customFormat="1" ht="12.75" x14ac:dyDescent="0.2">
      <c r="A42" s="120"/>
      <c r="B42" s="120"/>
      <c r="C42" s="120"/>
      <c r="D42" s="250"/>
      <c r="E42" s="120"/>
      <c r="F42" s="120"/>
      <c r="G42" s="120"/>
      <c r="H42" s="120"/>
      <c r="I42" s="120"/>
      <c r="J42" s="125"/>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9">
        <f t="shared" si="4"/>
        <v>0</v>
      </c>
      <c r="AK42" s="120"/>
      <c r="AL42" s="129">
        <f t="shared" si="5"/>
        <v>0</v>
      </c>
      <c r="AM42" s="120"/>
      <c r="AN42" s="125"/>
      <c r="AO42" s="129" t="str">
        <f t="shared" si="3"/>
        <v>FALTAN DATOS</v>
      </c>
      <c r="AP42" s="120"/>
      <c r="AQ42" s="120"/>
      <c r="AR42" s="120"/>
      <c r="AS42" s="120"/>
      <c r="AT42" s="120"/>
      <c r="AU42" s="120"/>
      <c r="AV42" s="120"/>
      <c r="AW42" s="120"/>
      <c r="AX42" s="120"/>
      <c r="AY42" s="120"/>
      <c r="AZ42" s="120"/>
      <c r="BA42" s="120"/>
      <c r="BB42" s="120"/>
      <c r="BC42" s="120"/>
      <c r="BD42" s="120"/>
    </row>
    <row r="43" spans="1:56" s="118" customFormat="1" ht="12.75" x14ac:dyDescent="0.2">
      <c r="A43" s="120"/>
      <c r="B43" s="120"/>
      <c r="C43" s="120"/>
      <c r="D43" s="250"/>
      <c r="E43" s="120"/>
      <c r="F43" s="120"/>
      <c r="G43" s="120"/>
      <c r="H43" s="120"/>
      <c r="I43" s="120"/>
      <c r="J43" s="125"/>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9">
        <f t="shared" si="4"/>
        <v>0</v>
      </c>
      <c r="AK43" s="120"/>
      <c r="AL43" s="129">
        <f t="shared" si="5"/>
        <v>0</v>
      </c>
      <c r="AM43" s="120"/>
      <c r="AN43" s="125"/>
      <c r="AO43" s="129" t="str">
        <f t="shared" si="3"/>
        <v>FALTAN DATOS</v>
      </c>
      <c r="AP43" s="120"/>
      <c r="AQ43" s="120"/>
      <c r="AR43" s="120"/>
      <c r="AS43" s="120"/>
      <c r="AT43" s="120"/>
      <c r="AU43" s="120"/>
      <c r="AV43" s="120"/>
      <c r="AW43" s="120"/>
      <c r="AX43" s="120"/>
      <c r="AY43" s="120"/>
      <c r="AZ43" s="120"/>
      <c r="BA43" s="120"/>
      <c r="BB43" s="120"/>
      <c r="BC43" s="120"/>
      <c r="BD43" s="120"/>
    </row>
    <row r="44" spans="1:56" s="118" customFormat="1" ht="12.75" x14ac:dyDescent="0.2">
      <c r="A44" s="120"/>
      <c r="B44" s="120"/>
      <c r="C44" s="120"/>
      <c r="D44" s="250"/>
      <c r="E44" s="120"/>
      <c r="F44" s="120"/>
      <c r="G44" s="120"/>
      <c r="H44" s="120"/>
      <c r="I44" s="120"/>
      <c r="J44" s="125"/>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9">
        <f t="shared" si="4"/>
        <v>0</v>
      </c>
      <c r="AK44" s="120"/>
      <c r="AL44" s="129">
        <f t="shared" si="5"/>
        <v>0</v>
      </c>
      <c r="AM44" s="120"/>
      <c r="AN44" s="125"/>
      <c r="AO44" s="129" t="str">
        <f t="shared" si="3"/>
        <v>FALTAN DATOS</v>
      </c>
      <c r="AP44" s="120"/>
      <c r="AQ44" s="120"/>
      <c r="AR44" s="120"/>
      <c r="AS44" s="120"/>
      <c r="AT44" s="120"/>
      <c r="AU44" s="120"/>
      <c r="AV44" s="120"/>
      <c r="AW44" s="120"/>
      <c r="AX44" s="120"/>
      <c r="AY44" s="120"/>
      <c r="AZ44" s="120"/>
      <c r="BA44" s="120"/>
      <c r="BB44" s="120"/>
      <c r="BC44" s="120"/>
      <c r="BD44" s="120"/>
    </row>
    <row r="45" spans="1:56" s="118" customFormat="1" ht="12.75" x14ac:dyDescent="0.2">
      <c r="A45" s="120"/>
      <c r="B45" s="120"/>
      <c r="C45" s="120"/>
      <c r="D45" s="250"/>
      <c r="E45" s="120"/>
      <c r="F45" s="120"/>
      <c r="G45" s="120"/>
      <c r="H45" s="120"/>
      <c r="I45" s="120"/>
      <c r="J45" s="125"/>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9">
        <f t="shared" si="4"/>
        <v>0</v>
      </c>
      <c r="AK45" s="120"/>
      <c r="AL45" s="129">
        <f t="shared" si="5"/>
        <v>0</v>
      </c>
      <c r="AM45" s="120"/>
      <c r="AN45" s="125"/>
      <c r="AO45" s="129" t="str">
        <f t="shared" si="3"/>
        <v>FALTAN DATOS</v>
      </c>
      <c r="AP45" s="120"/>
      <c r="AQ45" s="120"/>
      <c r="AR45" s="120"/>
      <c r="AS45" s="120"/>
      <c r="AT45" s="120"/>
      <c r="AU45" s="120"/>
      <c r="AV45" s="120"/>
      <c r="AW45" s="120"/>
      <c r="AX45" s="120"/>
      <c r="AY45" s="120"/>
      <c r="AZ45" s="120"/>
      <c r="BA45" s="120"/>
      <c r="BB45" s="120"/>
      <c r="BC45" s="120"/>
      <c r="BD45" s="120"/>
    </row>
    <row r="46" spans="1:56" s="118" customFormat="1" ht="12.75" x14ac:dyDescent="0.2">
      <c r="A46" s="120"/>
      <c r="B46" s="120"/>
      <c r="C46" s="120"/>
      <c r="D46" s="250"/>
      <c r="E46" s="120"/>
      <c r="F46" s="120"/>
      <c r="G46" s="120"/>
      <c r="H46" s="120"/>
      <c r="I46" s="120"/>
      <c r="J46" s="125"/>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9">
        <f t="shared" si="4"/>
        <v>0</v>
      </c>
      <c r="AK46" s="120"/>
      <c r="AL46" s="129">
        <f t="shared" si="5"/>
        <v>0</v>
      </c>
      <c r="AM46" s="120"/>
      <c r="AN46" s="125"/>
      <c r="AO46" s="129" t="str">
        <f t="shared" si="3"/>
        <v>FALTAN DATOS</v>
      </c>
      <c r="AP46" s="120"/>
      <c r="AQ46" s="120"/>
      <c r="AR46" s="120"/>
      <c r="AS46" s="120"/>
      <c r="AT46" s="120"/>
      <c r="AU46" s="120"/>
      <c r="AV46" s="120"/>
      <c r="AW46" s="120"/>
      <c r="AX46" s="120"/>
      <c r="AY46" s="120"/>
      <c r="AZ46" s="120"/>
      <c r="BA46" s="120"/>
      <c r="BB46" s="120"/>
      <c r="BC46" s="120"/>
      <c r="BD46" s="120"/>
    </row>
    <row r="47" spans="1:56" s="118" customFormat="1" ht="12.75" x14ac:dyDescent="0.2">
      <c r="A47" s="120"/>
      <c r="B47" s="120"/>
      <c r="C47" s="120"/>
      <c r="D47" s="250"/>
      <c r="E47" s="120"/>
      <c r="F47" s="120"/>
      <c r="G47" s="120"/>
      <c r="H47" s="120"/>
      <c r="I47" s="120"/>
      <c r="J47" s="125"/>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9">
        <f t="shared" si="4"/>
        <v>0</v>
      </c>
      <c r="AK47" s="120"/>
      <c r="AL47" s="129">
        <f t="shared" si="5"/>
        <v>0</v>
      </c>
      <c r="AM47" s="120"/>
      <c r="AN47" s="125"/>
      <c r="AO47" s="129" t="str">
        <f t="shared" si="3"/>
        <v>FALTAN DATOS</v>
      </c>
      <c r="AP47" s="120"/>
      <c r="AQ47" s="120"/>
      <c r="AR47" s="120"/>
      <c r="AS47" s="120"/>
      <c r="AT47" s="120"/>
      <c r="AU47" s="120"/>
      <c r="AV47" s="120"/>
      <c r="AW47" s="120"/>
      <c r="AX47" s="120"/>
      <c r="AY47" s="120"/>
      <c r="AZ47" s="120"/>
      <c r="BA47" s="120"/>
      <c r="BB47" s="120"/>
      <c r="BC47" s="120"/>
      <c r="BD47" s="120"/>
    </row>
    <row r="48" spans="1:56" s="118" customFormat="1" ht="12.75" x14ac:dyDescent="0.2">
      <c r="A48" s="120"/>
      <c r="B48" s="120"/>
      <c r="C48" s="120"/>
      <c r="D48" s="250"/>
      <c r="E48" s="120"/>
      <c r="F48" s="120"/>
      <c r="G48" s="120"/>
      <c r="H48" s="120"/>
      <c r="I48" s="120"/>
      <c r="J48" s="125"/>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9">
        <f t="shared" si="4"/>
        <v>0</v>
      </c>
      <c r="AK48" s="120"/>
      <c r="AL48" s="129">
        <f t="shared" si="5"/>
        <v>0</v>
      </c>
      <c r="AM48" s="120"/>
      <c r="AN48" s="125"/>
      <c r="AO48" s="129" t="str">
        <f t="shared" si="3"/>
        <v>FALTAN DATOS</v>
      </c>
      <c r="AP48" s="120"/>
      <c r="AQ48" s="120"/>
      <c r="AR48" s="120"/>
      <c r="AS48" s="120"/>
      <c r="AT48" s="120"/>
      <c r="AU48" s="120"/>
      <c r="AV48" s="120"/>
      <c r="AW48" s="120"/>
      <c r="AX48" s="120"/>
      <c r="AY48" s="120"/>
      <c r="AZ48" s="120"/>
      <c r="BA48" s="120"/>
      <c r="BB48" s="120"/>
      <c r="BC48" s="120"/>
      <c r="BD48" s="120"/>
    </row>
    <row r="49" spans="1:56" s="118" customFormat="1" ht="12.75" x14ac:dyDescent="0.2">
      <c r="A49" s="120"/>
      <c r="B49" s="120"/>
      <c r="C49" s="120"/>
      <c r="D49" s="250"/>
      <c r="E49" s="120"/>
      <c r="F49" s="120"/>
      <c r="G49" s="120"/>
      <c r="H49" s="120"/>
      <c r="I49" s="120"/>
      <c r="J49" s="125"/>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9">
        <f t="shared" si="4"/>
        <v>0</v>
      </c>
      <c r="AK49" s="120"/>
      <c r="AL49" s="129">
        <f t="shared" si="5"/>
        <v>0</v>
      </c>
      <c r="AM49" s="120"/>
      <c r="AN49" s="125"/>
      <c r="AO49" s="129" t="str">
        <f t="shared" si="3"/>
        <v>FALTAN DATOS</v>
      </c>
      <c r="AP49" s="120"/>
      <c r="AQ49" s="120"/>
      <c r="AR49" s="120"/>
      <c r="AS49" s="120"/>
      <c r="AT49" s="120"/>
      <c r="AU49" s="120"/>
      <c r="AV49" s="120"/>
      <c r="AW49" s="120"/>
      <c r="AX49" s="120"/>
      <c r="AY49" s="120"/>
      <c r="AZ49" s="120"/>
      <c r="BA49" s="120"/>
      <c r="BB49" s="120"/>
      <c r="BC49" s="120"/>
      <c r="BD49" s="120"/>
    </row>
    <row r="50" spans="1:56" s="118" customFormat="1" ht="12.75" x14ac:dyDescent="0.2">
      <c r="A50" s="120"/>
      <c r="B50" s="120"/>
      <c r="C50" s="120"/>
      <c r="D50" s="250"/>
      <c r="E50" s="120"/>
      <c r="F50" s="120"/>
      <c r="G50" s="120"/>
      <c r="H50" s="120"/>
      <c r="I50" s="120"/>
      <c r="J50" s="125"/>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9">
        <f t="shared" si="4"/>
        <v>0</v>
      </c>
      <c r="AK50" s="120"/>
      <c r="AL50" s="129">
        <f t="shared" si="5"/>
        <v>0</v>
      </c>
      <c r="AM50" s="120"/>
      <c r="AN50" s="125"/>
      <c r="AO50" s="129" t="str">
        <f t="shared" si="3"/>
        <v>FALTAN DATOS</v>
      </c>
      <c r="AP50" s="120"/>
      <c r="AQ50" s="120"/>
      <c r="AR50" s="120"/>
      <c r="AS50" s="120"/>
      <c r="AT50" s="120"/>
      <c r="AU50" s="120"/>
      <c r="AV50" s="120"/>
      <c r="AW50" s="120"/>
      <c r="AX50" s="120"/>
      <c r="AY50" s="120"/>
      <c r="AZ50" s="120"/>
      <c r="BA50" s="120"/>
      <c r="BB50" s="120"/>
      <c r="BC50" s="120"/>
      <c r="BD50" s="120"/>
    </row>
    <row r="51" spans="1:56" s="118" customFormat="1" ht="12.75" x14ac:dyDescent="0.2">
      <c r="A51" s="120"/>
      <c r="B51" s="120"/>
      <c r="C51" s="120"/>
      <c r="D51" s="250"/>
      <c r="E51" s="120"/>
      <c r="F51" s="120"/>
      <c r="G51" s="120"/>
      <c r="H51" s="120"/>
      <c r="I51" s="120"/>
      <c r="J51" s="125"/>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9">
        <f t="shared" si="4"/>
        <v>0</v>
      </c>
      <c r="AK51" s="120"/>
      <c r="AL51" s="129">
        <f t="shared" si="5"/>
        <v>0</v>
      </c>
      <c r="AM51" s="120"/>
      <c r="AN51" s="125"/>
      <c r="AO51" s="129" t="str">
        <f t="shared" si="3"/>
        <v>FALTAN DATOS</v>
      </c>
      <c r="AP51" s="120"/>
      <c r="AQ51" s="120"/>
      <c r="AR51" s="120"/>
      <c r="AS51" s="120"/>
      <c r="AT51" s="120"/>
      <c r="AU51" s="120"/>
      <c r="AV51" s="120"/>
      <c r="AW51" s="120"/>
      <c r="AX51" s="120"/>
      <c r="AY51" s="120"/>
      <c r="AZ51" s="120"/>
      <c r="BA51" s="120"/>
      <c r="BB51" s="120"/>
      <c r="BC51" s="120"/>
      <c r="BD51" s="120"/>
    </row>
    <row r="52" spans="1:56" s="118" customFormat="1" ht="12.75" x14ac:dyDescent="0.2">
      <c r="A52" s="120"/>
      <c r="B52" s="120"/>
      <c r="C52" s="120"/>
      <c r="D52" s="250"/>
      <c r="E52" s="120"/>
      <c r="F52" s="120"/>
      <c r="G52" s="120"/>
      <c r="H52" s="120"/>
      <c r="I52" s="120"/>
      <c r="J52" s="125"/>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9">
        <f t="shared" si="4"/>
        <v>0</v>
      </c>
      <c r="AK52" s="120"/>
      <c r="AL52" s="129">
        <f t="shared" si="5"/>
        <v>0</v>
      </c>
      <c r="AM52" s="120"/>
      <c r="AN52" s="125"/>
      <c r="AO52" s="129" t="str">
        <f t="shared" si="3"/>
        <v>FALTAN DATOS</v>
      </c>
      <c r="AP52" s="120"/>
      <c r="AQ52" s="120"/>
      <c r="AR52" s="120"/>
      <c r="AS52" s="120"/>
      <c r="AT52" s="120"/>
      <c r="AU52" s="120"/>
      <c r="AV52" s="120"/>
      <c r="AW52" s="120"/>
      <c r="AX52" s="120"/>
      <c r="AY52" s="120"/>
      <c r="AZ52" s="120"/>
      <c r="BA52" s="120"/>
      <c r="BB52" s="120"/>
      <c r="BC52" s="120"/>
      <c r="BD52" s="120"/>
    </row>
    <row r="53" spans="1:56" s="118" customFormat="1" ht="12.75" x14ac:dyDescent="0.2">
      <c r="A53" s="120"/>
      <c r="B53" s="120"/>
      <c r="C53" s="120"/>
      <c r="D53" s="250"/>
      <c r="E53" s="120"/>
      <c r="F53" s="120"/>
      <c r="G53" s="120"/>
      <c r="H53" s="120"/>
      <c r="I53" s="120"/>
      <c r="J53" s="125"/>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9">
        <f t="shared" si="4"/>
        <v>0</v>
      </c>
      <c r="AK53" s="120"/>
      <c r="AL53" s="129">
        <f t="shared" si="5"/>
        <v>0</v>
      </c>
      <c r="AM53" s="120"/>
      <c r="AN53" s="125"/>
      <c r="AO53" s="129" t="str">
        <f t="shared" si="3"/>
        <v>FALTAN DATOS</v>
      </c>
      <c r="AP53" s="120"/>
      <c r="AQ53" s="120"/>
      <c r="AR53" s="120"/>
      <c r="AS53" s="120"/>
      <c r="AT53" s="120"/>
      <c r="AU53" s="120"/>
      <c r="AV53" s="120"/>
      <c r="AW53" s="120"/>
      <c r="AX53" s="120"/>
      <c r="AY53" s="120"/>
      <c r="AZ53" s="120"/>
      <c r="BA53" s="120"/>
      <c r="BB53" s="120"/>
      <c r="BC53" s="120"/>
      <c r="BD53" s="120"/>
    </row>
    <row r="54" spans="1:56" s="118" customFormat="1" ht="12.75" x14ac:dyDescent="0.2">
      <c r="A54" s="120"/>
      <c r="B54" s="120"/>
      <c r="C54" s="120"/>
      <c r="D54" s="250"/>
      <c r="E54" s="120"/>
      <c r="F54" s="120"/>
      <c r="G54" s="120"/>
      <c r="H54" s="120"/>
      <c r="I54" s="120"/>
      <c r="J54" s="125"/>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9">
        <f t="shared" si="4"/>
        <v>0</v>
      </c>
      <c r="AK54" s="120"/>
      <c r="AL54" s="129">
        <f t="shared" si="5"/>
        <v>0</v>
      </c>
      <c r="AM54" s="120"/>
      <c r="AN54" s="125"/>
      <c r="AO54" s="129" t="str">
        <f t="shared" si="3"/>
        <v>FALTAN DATOS</v>
      </c>
      <c r="AP54" s="120"/>
      <c r="AQ54" s="120"/>
      <c r="AR54" s="120"/>
      <c r="AS54" s="120"/>
      <c r="AT54" s="120"/>
      <c r="AU54" s="120"/>
      <c r="AV54" s="120"/>
      <c r="AW54" s="120"/>
      <c r="AX54" s="120"/>
      <c r="AY54" s="120"/>
      <c r="AZ54" s="120"/>
      <c r="BA54" s="120"/>
      <c r="BB54" s="120"/>
      <c r="BC54" s="120"/>
      <c r="BD54" s="120"/>
    </row>
    <row r="55" spans="1:56" s="118" customFormat="1" ht="12.75" x14ac:dyDescent="0.2">
      <c r="A55" s="120"/>
      <c r="B55" s="120"/>
      <c r="C55" s="120"/>
      <c r="D55" s="250"/>
      <c r="E55" s="120"/>
      <c r="F55" s="120"/>
      <c r="G55" s="120"/>
      <c r="H55" s="120"/>
      <c r="I55" s="120"/>
      <c r="J55" s="125"/>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9">
        <f t="shared" si="4"/>
        <v>0</v>
      </c>
      <c r="AK55" s="120"/>
      <c r="AL55" s="129">
        <f t="shared" si="5"/>
        <v>0</v>
      </c>
      <c r="AM55" s="120"/>
      <c r="AN55" s="125"/>
      <c r="AO55" s="129" t="str">
        <f t="shared" si="3"/>
        <v>FALTAN DATOS</v>
      </c>
      <c r="AP55" s="120"/>
      <c r="AQ55" s="120"/>
      <c r="AR55" s="120"/>
      <c r="AS55" s="120"/>
      <c r="AT55" s="120"/>
      <c r="AU55" s="120"/>
      <c r="AV55" s="120"/>
      <c r="AW55" s="120"/>
      <c r="AX55" s="120"/>
      <c r="AY55" s="120"/>
      <c r="AZ55" s="120"/>
      <c r="BA55" s="120"/>
      <c r="BB55" s="120"/>
      <c r="BC55" s="120"/>
      <c r="BD55" s="120"/>
    </row>
    <row r="56" spans="1:56" s="118" customFormat="1" ht="12.75" x14ac:dyDescent="0.2">
      <c r="A56" s="120"/>
      <c r="B56" s="120"/>
      <c r="C56" s="120"/>
      <c r="D56" s="250"/>
      <c r="E56" s="120"/>
      <c r="F56" s="120"/>
      <c r="G56" s="120"/>
      <c r="H56" s="120"/>
      <c r="I56" s="120"/>
      <c r="J56" s="125"/>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9">
        <f t="shared" si="4"/>
        <v>0</v>
      </c>
      <c r="AK56" s="120"/>
      <c r="AL56" s="129">
        <f t="shared" si="5"/>
        <v>0</v>
      </c>
      <c r="AM56" s="120"/>
      <c r="AN56" s="125"/>
      <c r="AO56" s="129" t="str">
        <f t="shared" si="3"/>
        <v>FALTAN DATOS</v>
      </c>
      <c r="AP56" s="120"/>
      <c r="AQ56" s="120"/>
      <c r="AR56" s="120"/>
      <c r="AS56" s="120"/>
      <c r="AT56" s="120"/>
      <c r="AU56" s="120"/>
      <c r="AV56" s="120"/>
      <c r="AW56" s="120"/>
      <c r="AX56" s="120"/>
      <c r="AY56" s="120"/>
      <c r="AZ56" s="120"/>
      <c r="BA56" s="120"/>
      <c r="BB56" s="120"/>
      <c r="BC56" s="120"/>
      <c r="BD56" s="120"/>
    </row>
    <row r="57" spans="1:56" s="118" customFormat="1" ht="12.75" x14ac:dyDescent="0.2">
      <c r="A57" s="120"/>
      <c r="B57" s="120"/>
      <c r="C57" s="120"/>
      <c r="D57" s="250"/>
      <c r="E57" s="120"/>
      <c r="F57" s="120"/>
      <c r="G57" s="120"/>
      <c r="H57" s="120"/>
      <c r="I57" s="120"/>
      <c r="J57" s="125"/>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9">
        <f t="shared" si="4"/>
        <v>0</v>
      </c>
      <c r="AK57" s="120"/>
      <c r="AL57" s="129">
        <f t="shared" si="5"/>
        <v>0</v>
      </c>
      <c r="AM57" s="120"/>
      <c r="AN57" s="125"/>
      <c r="AO57" s="129" t="str">
        <f t="shared" si="3"/>
        <v>FALTAN DATOS</v>
      </c>
      <c r="AP57" s="120"/>
      <c r="AQ57" s="120"/>
      <c r="AR57" s="120"/>
      <c r="AS57" s="120"/>
      <c r="AT57" s="120"/>
      <c r="AU57" s="120"/>
      <c r="AV57" s="120"/>
      <c r="AW57" s="120"/>
      <c r="AX57" s="120"/>
      <c r="AY57" s="120"/>
      <c r="AZ57" s="120"/>
      <c r="BA57" s="120"/>
      <c r="BB57" s="120"/>
      <c r="BC57" s="120"/>
      <c r="BD57" s="120"/>
    </row>
    <row r="58" spans="1:56" s="118" customFormat="1" ht="12.75" x14ac:dyDescent="0.2">
      <c r="A58" s="120"/>
      <c r="B58" s="120"/>
      <c r="C58" s="120"/>
      <c r="D58" s="250"/>
      <c r="E58" s="120"/>
      <c r="F58" s="120"/>
      <c r="G58" s="120"/>
      <c r="H58" s="120"/>
      <c r="I58" s="120"/>
      <c r="J58" s="125"/>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9">
        <f t="shared" si="4"/>
        <v>0</v>
      </c>
      <c r="AK58" s="120"/>
      <c r="AL58" s="129">
        <f t="shared" si="5"/>
        <v>0</v>
      </c>
      <c r="AM58" s="120"/>
      <c r="AN58" s="125"/>
      <c r="AO58" s="129" t="str">
        <f t="shared" si="3"/>
        <v>FALTAN DATOS</v>
      </c>
      <c r="AP58" s="120"/>
      <c r="AQ58" s="120"/>
      <c r="AR58" s="120"/>
      <c r="AS58" s="120"/>
      <c r="AT58" s="120"/>
      <c r="AU58" s="120"/>
      <c r="AV58" s="120"/>
      <c r="AW58" s="120"/>
      <c r="AX58" s="120"/>
      <c r="AY58" s="120"/>
      <c r="AZ58" s="120"/>
      <c r="BA58" s="120"/>
      <c r="BB58" s="120"/>
      <c r="BC58" s="120"/>
      <c r="BD58" s="120"/>
    </row>
    <row r="59" spans="1:56" s="118" customFormat="1" ht="12.75" x14ac:dyDescent="0.2">
      <c r="A59" s="120"/>
      <c r="B59" s="120"/>
      <c r="C59" s="120"/>
      <c r="D59" s="250"/>
      <c r="E59" s="120"/>
      <c r="F59" s="120"/>
      <c r="G59" s="120"/>
      <c r="H59" s="120"/>
      <c r="I59" s="120"/>
      <c r="J59" s="125"/>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9">
        <f t="shared" si="4"/>
        <v>0</v>
      </c>
      <c r="AK59" s="120"/>
      <c r="AL59" s="129">
        <f t="shared" si="5"/>
        <v>0</v>
      </c>
      <c r="AM59" s="120"/>
      <c r="AN59" s="125"/>
      <c r="AO59" s="129" t="str">
        <f t="shared" si="3"/>
        <v>FALTAN DATOS</v>
      </c>
      <c r="AP59" s="120"/>
      <c r="AQ59" s="120"/>
      <c r="AR59" s="120"/>
      <c r="AS59" s="120"/>
      <c r="AT59" s="120"/>
      <c r="AU59" s="120"/>
      <c r="AV59" s="120"/>
      <c r="AW59" s="120"/>
      <c r="AX59" s="120"/>
      <c r="AY59" s="120"/>
      <c r="AZ59" s="120"/>
      <c r="BA59" s="120"/>
      <c r="BB59" s="120"/>
      <c r="BC59" s="120"/>
      <c r="BD59" s="120"/>
    </row>
    <row r="60" spans="1:56" s="118" customFormat="1" ht="12.75" x14ac:dyDescent="0.2">
      <c r="A60" s="120"/>
      <c r="B60" s="120"/>
      <c r="C60" s="120"/>
      <c r="D60" s="250"/>
      <c r="E60" s="120"/>
      <c r="F60" s="120"/>
      <c r="G60" s="120"/>
      <c r="H60" s="120"/>
      <c r="I60" s="120"/>
      <c r="J60" s="125"/>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9">
        <f t="shared" si="4"/>
        <v>0</v>
      </c>
      <c r="AK60" s="120"/>
      <c r="AL60" s="129">
        <f t="shared" si="5"/>
        <v>0</v>
      </c>
      <c r="AM60" s="120"/>
      <c r="AN60" s="125"/>
      <c r="AO60" s="129" t="str">
        <f t="shared" si="3"/>
        <v>FALTAN DATOS</v>
      </c>
      <c r="AP60" s="120"/>
      <c r="AQ60" s="120"/>
      <c r="AR60" s="120"/>
      <c r="AS60" s="120"/>
      <c r="AT60" s="120"/>
      <c r="AU60" s="120"/>
      <c r="AV60" s="120"/>
      <c r="AW60" s="120"/>
      <c r="AX60" s="120"/>
      <c r="AY60" s="120"/>
      <c r="AZ60" s="120"/>
      <c r="BA60" s="120"/>
      <c r="BB60" s="120"/>
      <c r="BC60" s="120"/>
      <c r="BD60" s="120"/>
    </row>
    <row r="61" spans="1:56" s="118" customFormat="1" ht="12.75" x14ac:dyDescent="0.2">
      <c r="A61" s="120"/>
      <c r="B61" s="120"/>
      <c r="C61" s="120"/>
      <c r="D61" s="250"/>
      <c r="E61" s="120"/>
      <c r="F61" s="120"/>
      <c r="G61" s="120"/>
      <c r="H61" s="120"/>
      <c r="I61" s="120"/>
      <c r="J61" s="125"/>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9">
        <f t="shared" si="4"/>
        <v>0</v>
      </c>
      <c r="AK61" s="120"/>
      <c r="AL61" s="129">
        <f t="shared" si="5"/>
        <v>0</v>
      </c>
      <c r="AM61" s="120"/>
      <c r="AN61" s="125"/>
      <c r="AO61" s="129" t="str">
        <f t="shared" si="3"/>
        <v>FALTAN DATOS</v>
      </c>
      <c r="AP61" s="120"/>
      <c r="AQ61" s="120"/>
      <c r="AR61" s="120"/>
      <c r="AS61" s="120"/>
      <c r="AT61" s="120"/>
      <c r="AU61" s="120"/>
      <c r="AV61" s="120"/>
      <c r="AW61" s="120"/>
      <c r="AX61" s="120"/>
      <c r="AY61" s="120"/>
      <c r="AZ61" s="120"/>
      <c r="BA61" s="120"/>
      <c r="BB61" s="120"/>
      <c r="BC61" s="120"/>
      <c r="BD61" s="120"/>
    </row>
    <row r="62" spans="1:56" s="118" customFormat="1" ht="12.75" x14ac:dyDescent="0.2">
      <c r="A62" s="120"/>
      <c r="B62" s="120"/>
      <c r="C62" s="120"/>
      <c r="D62" s="250"/>
      <c r="E62" s="120"/>
      <c r="F62" s="120"/>
      <c r="G62" s="120"/>
      <c r="H62" s="120"/>
      <c r="I62" s="120"/>
      <c r="J62" s="125"/>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9">
        <f t="shared" si="4"/>
        <v>0</v>
      </c>
      <c r="AK62" s="120"/>
      <c r="AL62" s="129">
        <f t="shared" si="5"/>
        <v>0</v>
      </c>
      <c r="AM62" s="120"/>
      <c r="AN62" s="125"/>
      <c r="AO62" s="129" t="str">
        <f t="shared" si="3"/>
        <v>FALTAN DATOS</v>
      </c>
      <c r="AP62" s="120"/>
      <c r="AQ62" s="120"/>
      <c r="AR62" s="120"/>
      <c r="AS62" s="120"/>
      <c r="AT62" s="120"/>
      <c r="AU62" s="120"/>
      <c r="AV62" s="120"/>
      <c r="AW62" s="120"/>
      <c r="AX62" s="120"/>
      <c r="AY62" s="120"/>
      <c r="AZ62" s="120"/>
      <c r="BA62" s="120"/>
      <c r="BB62" s="120"/>
      <c r="BC62" s="120"/>
      <c r="BD62" s="120"/>
    </row>
    <row r="63" spans="1:56" s="118" customFormat="1" ht="12.75" x14ac:dyDescent="0.2">
      <c r="A63" s="120"/>
      <c r="B63" s="120"/>
      <c r="C63" s="120"/>
      <c r="D63" s="250"/>
      <c r="E63" s="120"/>
      <c r="F63" s="120"/>
      <c r="G63" s="120"/>
      <c r="H63" s="120"/>
      <c r="I63" s="120"/>
      <c r="J63" s="125"/>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9">
        <f t="shared" si="4"/>
        <v>0</v>
      </c>
      <c r="AK63" s="120"/>
      <c r="AL63" s="129">
        <f t="shared" si="5"/>
        <v>0</v>
      </c>
      <c r="AM63" s="120"/>
      <c r="AN63" s="125"/>
      <c r="AO63" s="129" t="str">
        <f t="shared" si="3"/>
        <v>FALTAN DATOS</v>
      </c>
      <c r="AP63" s="120"/>
      <c r="AQ63" s="120"/>
      <c r="AR63" s="120"/>
      <c r="AS63" s="120"/>
      <c r="AT63" s="120"/>
      <c r="AU63" s="120"/>
      <c r="AV63" s="120"/>
      <c r="AW63" s="120"/>
      <c r="AX63" s="120"/>
      <c r="AY63" s="120"/>
      <c r="AZ63" s="120"/>
      <c r="BA63" s="120"/>
      <c r="BB63" s="120"/>
      <c r="BC63" s="120"/>
      <c r="BD63" s="120"/>
    </row>
    <row r="64" spans="1:56" s="118" customFormat="1" ht="12.75" x14ac:dyDescent="0.2">
      <c r="A64" s="120"/>
      <c r="B64" s="120"/>
      <c r="C64" s="120"/>
      <c r="D64" s="250"/>
      <c r="E64" s="120"/>
      <c r="F64" s="120"/>
      <c r="G64" s="120"/>
      <c r="H64" s="120"/>
      <c r="I64" s="120"/>
      <c r="J64" s="125"/>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9">
        <f t="shared" si="4"/>
        <v>0</v>
      </c>
      <c r="AK64" s="120"/>
      <c r="AL64" s="129">
        <f t="shared" si="5"/>
        <v>0</v>
      </c>
      <c r="AM64" s="120"/>
      <c r="AN64" s="125"/>
      <c r="AO64" s="129" t="str">
        <f t="shared" si="3"/>
        <v>FALTAN DATOS</v>
      </c>
      <c r="AP64" s="120"/>
      <c r="AQ64" s="120"/>
      <c r="AR64" s="120"/>
      <c r="AS64" s="120"/>
      <c r="AT64" s="120"/>
      <c r="AU64" s="120"/>
      <c r="AV64" s="120"/>
      <c r="AW64" s="120"/>
      <c r="AX64" s="120"/>
      <c r="AY64" s="120"/>
      <c r="AZ64" s="120"/>
      <c r="BA64" s="120"/>
      <c r="BB64" s="120"/>
      <c r="BC64" s="120"/>
      <c r="BD64" s="120"/>
    </row>
    <row r="65" spans="1:56" s="118" customFormat="1" ht="12.75" x14ac:dyDescent="0.2">
      <c r="A65" s="120"/>
      <c r="B65" s="120"/>
      <c r="C65" s="120"/>
      <c r="D65" s="250"/>
      <c r="E65" s="120"/>
      <c r="F65" s="120"/>
      <c r="G65" s="120"/>
      <c r="H65" s="120"/>
      <c r="I65" s="120"/>
      <c r="J65" s="125"/>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9">
        <f t="shared" si="4"/>
        <v>0</v>
      </c>
      <c r="AK65" s="120"/>
      <c r="AL65" s="129">
        <f t="shared" si="5"/>
        <v>0</v>
      </c>
      <c r="AM65" s="120"/>
      <c r="AN65" s="125"/>
      <c r="AO65" s="129" t="str">
        <f t="shared" si="3"/>
        <v>FALTAN DATOS</v>
      </c>
      <c r="AP65" s="120"/>
      <c r="AQ65" s="120"/>
      <c r="AR65" s="120"/>
      <c r="AS65" s="120"/>
      <c r="AT65" s="120"/>
      <c r="AU65" s="120"/>
      <c r="AV65" s="120"/>
      <c r="AW65" s="120"/>
      <c r="AX65" s="120"/>
      <c r="AY65" s="120"/>
      <c r="AZ65" s="120"/>
      <c r="BA65" s="120"/>
      <c r="BB65" s="120"/>
      <c r="BC65" s="120"/>
      <c r="BD65" s="120"/>
    </row>
    <row r="66" spans="1:56" s="118" customFormat="1" ht="12.75" x14ac:dyDescent="0.2">
      <c r="A66" s="120"/>
      <c r="B66" s="120"/>
      <c r="C66" s="120"/>
      <c r="D66" s="250"/>
      <c r="E66" s="120"/>
      <c r="F66" s="120"/>
      <c r="G66" s="120"/>
      <c r="H66" s="120"/>
      <c r="I66" s="120"/>
      <c r="J66" s="125"/>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9">
        <f t="shared" si="4"/>
        <v>0</v>
      </c>
      <c r="AK66" s="120"/>
      <c r="AL66" s="129">
        <f t="shared" si="5"/>
        <v>0</v>
      </c>
      <c r="AM66" s="120"/>
      <c r="AN66" s="125"/>
      <c r="AO66" s="129" t="str">
        <f t="shared" si="3"/>
        <v>FALTAN DATOS</v>
      </c>
      <c r="AP66" s="120"/>
      <c r="AQ66" s="120"/>
      <c r="AR66" s="120"/>
      <c r="AS66" s="120"/>
      <c r="AT66" s="120"/>
      <c r="AU66" s="120"/>
      <c r="AV66" s="120"/>
      <c r="AW66" s="120"/>
      <c r="AX66" s="120"/>
      <c r="AY66" s="120"/>
      <c r="AZ66" s="120"/>
      <c r="BA66" s="120"/>
      <c r="BB66" s="120"/>
      <c r="BC66" s="120"/>
      <c r="BD66" s="120"/>
    </row>
    <row r="67" spans="1:56" s="118" customFormat="1" ht="12.75" x14ac:dyDescent="0.2">
      <c r="A67" s="120"/>
      <c r="B67" s="120"/>
      <c r="C67" s="120"/>
      <c r="D67" s="250"/>
      <c r="E67" s="120"/>
      <c r="F67" s="120"/>
      <c r="G67" s="120"/>
      <c r="H67" s="120"/>
      <c r="I67" s="120"/>
      <c r="J67" s="125"/>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9">
        <f t="shared" si="4"/>
        <v>0</v>
      </c>
      <c r="AK67" s="120"/>
      <c r="AL67" s="129">
        <f t="shared" si="5"/>
        <v>0</v>
      </c>
      <c r="AM67" s="120"/>
      <c r="AN67" s="125"/>
      <c r="AO67" s="129" t="str">
        <f t="shared" si="3"/>
        <v>FALTAN DATOS</v>
      </c>
      <c r="AP67" s="120"/>
      <c r="AQ67" s="120"/>
      <c r="AR67" s="120"/>
      <c r="AS67" s="120"/>
      <c r="AT67" s="120"/>
      <c r="AU67" s="120"/>
      <c r="AV67" s="120"/>
      <c r="AW67" s="120"/>
      <c r="AX67" s="120"/>
      <c r="AY67" s="120"/>
      <c r="AZ67" s="120"/>
      <c r="BA67" s="120"/>
      <c r="BB67" s="120"/>
      <c r="BC67" s="120"/>
      <c r="BD67" s="120"/>
    </row>
    <row r="68" spans="1:56" s="118" customFormat="1" ht="12.75" x14ac:dyDescent="0.2">
      <c r="A68" s="120"/>
      <c r="B68" s="120"/>
      <c r="C68" s="120"/>
      <c r="D68" s="250"/>
      <c r="E68" s="120"/>
      <c r="F68" s="120"/>
      <c r="G68" s="120"/>
      <c r="H68" s="120"/>
      <c r="I68" s="120"/>
      <c r="J68" s="125"/>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9">
        <f t="shared" si="4"/>
        <v>0</v>
      </c>
      <c r="AK68" s="120"/>
      <c r="AL68" s="129">
        <f t="shared" si="5"/>
        <v>0</v>
      </c>
      <c r="AM68" s="120"/>
      <c r="AN68" s="125"/>
      <c r="AO68" s="129" t="str">
        <f t="shared" si="3"/>
        <v>FALTAN DATOS</v>
      </c>
      <c r="AP68" s="120"/>
      <c r="AQ68" s="120"/>
      <c r="AR68" s="120"/>
      <c r="AS68" s="120"/>
      <c r="AT68" s="120"/>
      <c r="AU68" s="120"/>
      <c r="AV68" s="120"/>
      <c r="AW68" s="120"/>
      <c r="AX68" s="120"/>
      <c r="AY68" s="120"/>
      <c r="AZ68" s="120"/>
      <c r="BA68" s="120"/>
      <c r="BB68" s="120"/>
      <c r="BC68" s="120"/>
      <c r="BD68" s="120"/>
    </row>
    <row r="69" spans="1:56" s="118" customFormat="1" ht="12.75" x14ac:dyDescent="0.2">
      <c r="A69" s="120"/>
      <c r="B69" s="120"/>
      <c r="C69" s="120"/>
      <c r="D69" s="250"/>
      <c r="E69" s="120"/>
      <c r="F69" s="120"/>
      <c r="G69" s="120"/>
      <c r="H69" s="120"/>
      <c r="I69" s="120"/>
      <c r="J69" s="125"/>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9">
        <f t="shared" si="4"/>
        <v>0</v>
      </c>
      <c r="AK69" s="120"/>
      <c r="AL69" s="129">
        <f t="shared" si="5"/>
        <v>0</v>
      </c>
      <c r="AM69" s="120"/>
      <c r="AN69" s="125"/>
      <c r="AO69" s="129" t="str">
        <f t="shared" si="3"/>
        <v>FALTAN DATOS</v>
      </c>
      <c r="AP69" s="120"/>
      <c r="AQ69" s="120"/>
      <c r="AR69" s="120"/>
      <c r="AS69" s="120"/>
      <c r="AT69" s="120"/>
      <c r="AU69" s="120"/>
      <c r="AV69" s="120"/>
      <c r="AW69" s="120"/>
      <c r="AX69" s="120"/>
      <c r="AY69" s="120"/>
      <c r="AZ69" s="120"/>
      <c r="BA69" s="120"/>
      <c r="BB69" s="120"/>
      <c r="BC69" s="120"/>
      <c r="BD69" s="120"/>
    </row>
    <row r="70" spans="1:56" s="118" customFormat="1" ht="12.75" x14ac:dyDescent="0.2">
      <c r="A70" s="120"/>
      <c r="B70" s="120"/>
      <c r="C70" s="120"/>
      <c r="D70" s="250"/>
      <c r="E70" s="120"/>
      <c r="F70" s="120"/>
      <c r="G70" s="120"/>
      <c r="H70" s="120"/>
      <c r="I70" s="120"/>
      <c r="J70" s="125"/>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9">
        <f t="shared" si="4"/>
        <v>0</v>
      </c>
      <c r="AK70" s="120"/>
      <c r="AL70" s="129">
        <f t="shared" si="5"/>
        <v>0</v>
      </c>
      <c r="AM70" s="120"/>
      <c r="AN70" s="125"/>
      <c r="AO70" s="129" t="str">
        <f t="shared" si="3"/>
        <v>FALTAN DATOS</v>
      </c>
      <c r="AP70" s="120"/>
      <c r="AQ70" s="120"/>
      <c r="AR70" s="120"/>
      <c r="AS70" s="120"/>
      <c r="AT70" s="120"/>
      <c r="AU70" s="120"/>
      <c r="AV70" s="120"/>
      <c r="AW70" s="120"/>
      <c r="AX70" s="120"/>
      <c r="AY70" s="120"/>
      <c r="AZ70" s="120"/>
      <c r="BA70" s="120"/>
      <c r="BB70" s="120"/>
      <c r="BC70" s="120"/>
      <c r="BD70" s="120"/>
    </row>
    <row r="71" spans="1:56" s="118" customFormat="1" ht="12.75" x14ac:dyDescent="0.2">
      <c r="A71" s="120"/>
      <c r="B71" s="120"/>
      <c r="C71" s="120"/>
      <c r="D71" s="250"/>
      <c r="E71" s="120"/>
      <c r="F71" s="120"/>
      <c r="G71" s="120"/>
      <c r="H71" s="120"/>
      <c r="I71" s="120"/>
      <c r="J71" s="125"/>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9">
        <f t="shared" si="4"/>
        <v>0</v>
      </c>
      <c r="AK71" s="120"/>
      <c r="AL71" s="129">
        <f t="shared" si="5"/>
        <v>0</v>
      </c>
      <c r="AM71" s="120"/>
      <c r="AN71" s="125"/>
      <c r="AO71" s="129" t="str">
        <f t="shared" ref="AO71:AO100" si="6">IF(OR(AJ71=0,AL71=0,AN71=0),"FALTAN DATOS",IF(AND(AJ71=1,AL71=1,AN71=1),"BAJO",(IF(OR(AND(AJ71=5,AL71=5),AND(AL71=5,AN71=5),AND(AJ71=5,AN71=5),AND(AJ71=5,AL71=5,AN71=5)),"ALTA","MEDIA"))))</f>
        <v>FALTAN DATOS</v>
      </c>
      <c r="AP71" s="120"/>
      <c r="AQ71" s="120"/>
      <c r="AR71" s="120"/>
      <c r="AS71" s="120"/>
      <c r="AT71" s="120"/>
      <c r="AU71" s="120"/>
      <c r="AV71" s="120"/>
      <c r="AW71" s="120"/>
      <c r="AX71" s="120"/>
      <c r="AY71" s="120"/>
      <c r="AZ71" s="120"/>
      <c r="BA71" s="120"/>
      <c r="BB71" s="120"/>
      <c r="BC71" s="120"/>
      <c r="BD71" s="120"/>
    </row>
    <row r="72" spans="1:56" s="118" customFormat="1" ht="12.75" x14ac:dyDescent="0.2">
      <c r="A72" s="120"/>
      <c r="B72" s="120"/>
      <c r="C72" s="120"/>
      <c r="D72" s="250"/>
      <c r="E72" s="120"/>
      <c r="F72" s="120"/>
      <c r="G72" s="120"/>
      <c r="H72" s="120"/>
      <c r="I72" s="120"/>
      <c r="J72" s="125"/>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9">
        <f t="shared" ref="AJ72:AJ100" si="7">IF(AI72="Información Pública",1,IF(AI72="Información Pública Clasificada",3,IF(AI72="Información Pública Reservada",5,)))</f>
        <v>0</v>
      </c>
      <c r="AK72" s="120"/>
      <c r="AL72" s="129">
        <f t="shared" ref="AL72:AL100" si="8">IF(AK72="Bajo",1,IF(AK72="Medio",3,IF(AK72="Alto",5,)))</f>
        <v>0</v>
      </c>
      <c r="AM72" s="120"/>
      <c r="AN72" s="125"/>
      <c r="AO72" s="129" t="str">
        <f t="shared" si="6"/>
        <v>FALTAN DATOS</v>
      </c>
      <c r="AP72" s="120"/>
      <c r="AQ72" s="120"/>
      <c r="AR72" s="120"/>
      <c r="AS72" s="120"/>
      <c r="AT72" s="120"/>
      <c r="AU72" s="120"/>
      <c r="AV72" s="120"/>
      <c r="AW72" s="120"/>
      <c r="AX72" s="120"/>
      <c r="AY72" s="120"/>
      <c r="AZ72" s="120"/>
      <c r="BA72" s="120"/>
      <c r="BB72" s="120"/>
      <c r="BC72" s="120"/>
      <c r="BD72" s="120"/>
    </row>
    <row r="73" spans="1:56" s="118" customFormat="1" ht="12.75" x14ac:dyDescent="0.2">
      <c r="A73" s="120"/>
      <c r="B73" s="120"/>
      <c r="C73" s="120"/>
      <c r="D73" s="250"/>
      <c r="E73" s="120"/>
      <c r="F73" s="120"/>
      <c r="G73" s="120"/>
      <c r="H73" s="120"/>
      <c r="I73" s="120"/>
      <c r="J73" s="125"/>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9">
        <f t="shared" si="7"/>
        <v>0</v>
      </c>
      <c r="AK73" s="120"/>
      <c r="AL73" s="129">
        <f t="shared" si="8"/>
        <v>0</v>
      </c>
      <c r="AM73" s="120"/>
      <c r="AN73" s="125"/>
      <c r="AO73" s="129" t="str">
        <f t="shared" si="6"/>
        <v>FALTAN DATOS</v>
      </c>
      <c r="AP73" s="120"/>
      <c r="AQ73" s="120"/>
      <c r="AR73" s="120"/>
      <c r="AS73" s="120"/>
      <c r="AT73" s="120"/>
      <c r="AU73" s="120"/>
      <c r="AV73" s="120"/>
      <c r="AW73" s="120"/>
      <c r="AX73" s="120"/>
      <c r="AY73" s="120"/>
      <c r="AZ73" s="120"/>
      <c r="BA73" s="120"/>
      <c r="BB73" s="120"/>
      <c r="BC73" s="120"/>
      <c r="BD73" s="120"/>
    </row>
    <row r="74" spans="1:56" s="118" customFormat="1" ht="12.75" x14ac:dyDescent="0.2">
      <c r="A74" s="120"/>
      <c r="B74" s="120"/>
      <c r="C74" s="120"/>
      <c r="D74" s="250"/>
      <c r="E74" s="120"/>
      <c r="F74" s="120"/>
      <c r="G74" s="120"/>
      <c r="H74" s="120"/>
      <c r="I74" s="120"/>
      <c r="J74" s="125"/>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9">
        <f t="shared" si="7"/>
        <v>0</v>
      </c>
      <c r="AK74" s="120"/>
      <c r="AL74" s="129">
        <f t="shared" si="8"/>
        <v>0</v>
      </c>
      <c r="AM74" s="120"/>
      <c r="AN74" s="125"/>
      <c r="AO74" s="129" t="str">
        <f t="shared" si="6"/>
        <v>FALTAN DATOS</v>
      </c>
      <c r="AP74" s="120"/>
      <c r="AQ74" s="120"/>
      <c r="AR74" s="120"/>
      <c r="AS74" s="120"/>
      <c r="AT74" s="120"/>
      <c r="AU74" s="120"/>
      <c r="AV74" s="120"/>
      <c r="AW74" s="120"/>
      <c r="AX74" s="120"/>
      <c r="AY74" s="120"/>
      <c r="AZ74" s="120"/>
      <c r="BA74" s="120"/>
      <c r="BB74" s="120"/>
      <c r="BC74" s="120"/>
      <c r="BD74" s="120"/>
    </row>
    <row r="75" spans="1:56" s="118" customFormat="1" ht="12.75" x14ac:dyDescent="0.2">
      <c r="A75" s="120"/>
      <c r="B75" s="120"/>
      <c r="C75" s="120"/>
      <c r="D75" s="250"/>
      <c r="E75" s="120"/>
      <c r="F75" s="120"/>
      <c r="G75" s="120"/>
      <c r="H75" s="120"/>
      <c r="I75" s="120"/>
      <c r="J75" s="125"/>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9">
        <f t="shared" si="7"/>
        <v>0</v>
      </c>
      <c r="AK75" s="120"/>
      <c r="AL75" s="129">
        <f t="shared" si="8"/>
        <v>0</v>
      </c>
      <c r="AM75" s="120"/>
      <c r="AN75" s="125"/>
      <c r="AO75" s="129" t="str">
        <f t="shared" si="6"/>
        <v>FALTAN DATOS</v>
      </c>
      <c r="AP75" s="120"/>
      <c r="AQ75" s="120"/>
      <c r="AR75" s="120"/>
      <c r="AS75" s="120"/>
      <c r="AT75" s="120"/>
      <c r="AU75" s="120"/>
      <c r="AV75" s="120"/>
      <c r="AW75" s="120"/>
      <c r="AX75" s="120"/>
      <c r="AY75" s="120"/>
      <c r="AZ75" s="120"/>
      <c r="BA75" s="120"/>
      <c r="BB75" s="120"/>
      <c r="BC75" s="120"/>
      <c r="BD75" s="120"/>
    </row>
    <row r="76" spans="1:56" s="118" customFormat="1" ht="12.75" x14ac:dyDescent="0.2">
      <c r="A76" s="120"/>
      <c r="B76" s="120"/>
      <c r="C76" s="120"/>
      <c r="D76" s="250"/>
      <c r="E76" s="120"/>
      <c r="F76" s="120"/>
      <c r="G76" s="120"/>
      <c r="H76" s="120"/>
      <c r="I76" s="120"/>
      <c r="J76" s="125"/>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9">
        <f t="shared" si="7"/>
        <v>0</v>
      </c>
      <c r="AK76" s="120"/>
      <c r="AL76" s="129">
        <f t="shared" si="8"/>
        <v>0</v>
      </c>
      <c r="AM76" s="120"/>
      <c r="AN76" s="125"/>
      <c r="AO76" s="129" t="str">
        <f t="shared" si="6"/>
        <v>FALTAN DATOS</v>
      </c>
      <c r="AP76" s="120"/>
      <c r="AQ76" s="120"/>
      <c r="AR76" s="120"/>
      <c r="AS76" s="120"/>
      <c r="AT76" s="120"/>
      <c r="AU76" s="120"/>
      <c r="AV76" s="120"/>
      <c r="AW76" s="120"/>
      <c r="AX76" s="120"/>
      <c r="AY76" s="120"/>
      <c r="AZ76" s="120"/>
      <c r="BA76" s="120"/>
      <c r="BB76" s="120"/>
      <c r="BC76" s="120"/>
      <c r="BD76" s="120"/>
    </row>
    <row r="77" spans="1:56" s="118" customFormat="1" ht="12.75" x14ac:dyDescent="0.2">
      <c r="A77" s="120"/>
      <c r="B77" s="120"/>
      <c r="C77" s="120"/>
      <c r="D77" s="250"/>
      <c r="E77" s="120"/>
      <c r="F77" s="120"/>
      <c r="G77" s="120"/>
      <c r="H77" s="120"/>
      <c r="I77" s="120"/>
      <c r="J77" s="125"/>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9">
        <f t="shared" si="7"/>
        <v>0</v>
      </c>
      <c r="AK77" s="120"/>
      <c r="AL77" s="129">
        <f t="shared" si="8"/>
        <v>0</v>
      </c>
      <c r="AM77" s="120"/>
      <c r="AN77" s="125"/>
      <c r="AO77" s="129" t="str">
        <f t="shared" si="6"/>
        <v>FALTAN DATOS</v>
      </c>
      <c r="AP77" s="120"/>
      <c r="AQ77" s="120"/>
      <c r="AR77" s="120"/>
      <c r="AS77" s="120"/>
      <c r="AT77" s="120"/>
      <c r="AU77" s="120"/>
      <c r="AV77" s="120"/>
      <c r="AW77" s="120"/>
      <c r="AX77" s="120"/>
      <c r="AY77" s="120"/>
      <c r="AZ77" s="120"/>
      <c r="BA77" s="120"/>
      <c r="BB77" s="120"/>
      <c r="BC77" s="120"/>
      <c r="BD77" s="120"/>
    </row>
    <row r="78" spans="1:56" s="118" customFormat="1" ht="12.75" x14ac:dyDescent="0.2">
      <c r="A78" s="120"/>
      <c r="B78" s="120"/>
      <c r="C78" s="120"/>
      <c r="D78" s="250"/>
      <c r="E78" s="120"/>
      <c r="F78" s="120"/>
      <c r="G78" s="120"/>
      <c r="H78" s="120"/>
      <c r="I78" s="120"/>
      <c r="J78" s="125"/>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9">
        <f t="shared" si="7"/>
        <v>0</v>
      </c>
      <c r="AK78" s="120"/>
      <c r="AL78" s="129">
        <f t="shared" si="8"/>
        <v>0</v>
      </c>
      <c r="AM78" s="120"/>
      <c r="AN78" s="125"/>
      <c r="AO78" s="129" t="str">
        <f t="shared" si="6"/>
        <v>FALTAN DATOS</v>
      </c>
      <c r="AP78" s="120"/>
      <c r="AQ78" s="120"/>
      <c r="AR78" s="120"/>
      <c r="AS78" s="120"/>
      <c r="AT78" s="120"/>
      <c r="AU78" s="120"/>
      <c r="AV78" s="120"/>
      <c r="AW78" s="120"/>
      <c r="AX78" s="120"/>
      <c r="AY78" s="120"/>
      <c r="AZ78" s="120"/>
      <c r="BA78" s="120"/>
      <c r="BB78" s="120"/>
      <c r="BC78" s="120"/>
      <c r="BD78" s="120"/>
    </row>
    <row r="79" spans="1:56" s="118" customFormat="1" ht="12.75" x14ac:dyDescent="0.2">
      <c r="A79" s="120"/>
      <c r="B79" s="120"/>
      <c r="C79" s="120"/>
      <c r="D79" s="250"/>
      <c r="E79" s="120"/>
      <c r="F79" s="120"/>
      <c r="G79" s="120"/>
      <c r="H79" s="120"/>
      <c r="I79" s="120"/>
      <c r="J79" s="125"/>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9">
        <f t="shared" si="7"/>
        <v>0</v>
      </c>
      <c r="AK79" s="120"/>
      <c r="AL79" s="129">
        <f t="shared" si="8"/>
        <v>0</v>
      </c>
      <c r="AM79" s="120"/>
      <c r="AN79" s="125"/>
      <c r="AO79" s="129" t="str">
        <f t="shared" si="6"/>
        <v>FALTAN DATOS</v>
      </c>
      <c r="AP79" s="120"/>
      <c r="AQ79" s="120"/>
      <c r="AR79" s="120"/>
      <c r="AS79" s="120"/>
      <c r="AT79" s="120"/>
      <c r="AU79" s="120"/>
      <c r="AV79" s="120"/>
      <c r="AW79" s="120"/>
      <c r="AX79" s="120"/>
      <c r="AY79" s="120"/>
      <c r="AZ79" s="120"/>
      <c r="BA79" s="120"/>
      <c r="BB79" s="120"/>
      <c r="BC79" s="120"/>
      <c r="BD79" s="120"/>
    </row>
    <row r="80" spans="1:56" s="118" customFormat="1" ht="12.75" x14ac:dyDescent="0.2">
      <c r="A80" s="120"/>
      <c r="B80" s="120"/>
      <c r="C80" s="120"/>
      <c r="D80" s="250"/>
      <c r="E80" s="120"/>
      <c r="F80" s="120"/>
      <c r="G80" s="120"/>
      <c r="H80" s="120"/>
      <c r="I80" s="120"/>
      <c r="J80" s="125"/>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9">
        <f t="shared" si="7"/>
        <v>0</v>
      </c>
      <c r="AK80" s="120"/>
      <c r="AL80" s="129">
        <f t="shared" si="8"/>
        <v>0</v>
      </c>
      <c r="AM80" s="120"/>
      <c r="AN80" s="125"/>
      <c r="AO80" s="129" t="str">
        <f t="shared" si="6"/>
        <v>FALTAN DATOS</v>
      </c>
      <c r="AP80" s="120"/>
      <c r="AQ80" s="120"/>
      <c r="AR80" s="120"/>
      <c r="AS80" s="120"/>
      <c r="AT80" s="120"/>
      <c r="AU80" s="120"/>
      <c r="AV80" s="120"/>
      <c r="AW80" s="120"/>
      <c r="AX80" s="120"/>
      <c r="AY80" s="120"/>
      <c r="AZ80" s="120"/>
      <c r="BA80" s="120"/>
      <c r="BB80" s="120"/>
      <c r="BC80" s="120"/>
      <c r="BD80" s="120"/>
    </row>
    <row r="81" spans="1:56" s="118" customFormat="1" ht="12.75" x14ac:dyDescent="0.2">
      <c r="A81" s="120"/>
      <c r="B81" s="120"/>
      <c r="C81" s="120"/>
      <c r="D81" s="250"/>
      <c r="E81" s="120"/>
      <c r="F81" s="120"/>
      <c r="G81" s="120"/>
      <c r="H81" s="120"/>
      <c r="I81" s="120"/>
      <c r="J81" s="125"/>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9">
        <f t="shared" si="7"/>
        <v>0</v>
      </c>
      <c r="AK81" s="120"/>
      <c r="AL81" s="129">
        <f t="shared" si="8"/>
        <v>0</v>
      </c>
      <c r="AM81" s="120"/>
      <c r="AN81" s="125"/>
      <c r="AO81" s="129" t="str">
        <f t="shared" si="6"/>
        <v>FALTAN DATOS</v>
      </c>
      <c r="AP81" s="120"/>
      <c r="AQ81" s="120"/>
      <c r="AR81" s="120"/>
      <c r="AS81" s="120"/>
      <c r="AT81" s="120"/>
      <c r="AU81" s="120"/>
      <c r="AV81" s="120"/>
      <c r="AW81" s="120"/>
      <c r="AX81" s="120"/>
      <c r="AY81" s="120"/>
      <c r="AZ81" s="120"/>
      <c r="BA81" s="120"/>
      <c r="BB81" s="120"/>
      <c r="BC81" s="120"/>
      <c r="BD81" s="120"/>
    </row>
    <row r="82" spans="1:56" s="118" customFormat="1" ht="12.75" x14ac:dyDescent="0.2">
      <c r="A82" s="120"/>
      <c r="B82" s="120"/>
      <c r="C82" s="120"/>
      <c r="D82" s="250"/>
      <c r="E82" s="120"/>
      <c r="F82" s="120"/>
      <c r="G82" s="120"/>
      <c r="H82" s="120"/>
      <c r="I82" s="120"/>
      <c r="J82" s="125"/>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9">
        <f t="shared" si="7"/>
        <v>0</v>
      </c>
      <c r="AK82" s="120"/>
      <c r="AL82" s="129">
        <f t="shared" si="8"/>
        <v>0</v>
      </c>
      <c r="AM82" s="120"/>
      <c r="AN82" s="125"/>
      <c r="AO82" s="129" t="str">
        <f t="shared" si="6"/>
        <v>FALTAN DATOS</v>
      </c>
      <c r="AP82" s="120"/>
      <c r="AQ82" s="120"/>
      <c r="AR82" s="120"/>
      <c r="AS82" s="120"/>
      <c r="AT82" s="120"/>
      <c r="AU82" s="120"/>
      <c r="AV82" s="120"/>
      <c r="AW82" s="120"/>
      <c r="AX82" s="120"/>
      <c r="AY82" s="120"/>
      <c r="AZ82" s="120"/>
      <c r="BA82" s="120"/>
      <c r="BB82" s="120"/>
      <c r="BC82" s="120"/>
      <c r="BD82" s="120"/>
    </row>
    <row r="83" spans="1:56" s="118" customFormat="1" ht="12.75" x14ac:dyDescent="0.2">
      <c r="A83" s="120"/>
      <c r="B83" s="120"/>
      <c r="C83" s="120"/>
      <c r="D83" s="250"/>
      <c r="E83" s="120"/>
      <c r="F83" s="120"/>
      <c r="G83" s="120"/>
      <c r="H83" s="120"/>
      <c r="I83" s="120"/>
      <c r="J83" s="125"/>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9">
        <f t="shared" si="7"/>
        <v>0</v>
      </c>
      <c r="AK83" s="120"/>
      <c r="AL83" s="129">
        <f t="shared" si="8"/>
        <v>0</v>
      </c>
      <c r="AM83" s="120"/>
      <c r="AN83" s="125"/>
      <c r="AO83" s="129" t="str">
        <f t="shared" si="6"/>
        <v>FALTAN DATOS</v>
      </c>
      <c r="AP83" s="120"/>
      <c r="AQ83" s="120"/>
      <c r="AR83" s="120"/>
      <c r="AS83" s="120"/>
      <c r="AT83" s="120"/>
      <c r="AU83" s="120"/>
      <c r="AV83" s="120"/>
      <c r="AW83" s="120"/>
      <c r="AX83" s="120"/>
      <c r="AY83" s="120"/>
      <c r="AZ83" s="120"/>
      <c r="BA83" s="120"/>
      <c r="BB83" s="120"/>
      <c r="BC83" s="120"/>
      <c r="BD83" s="120"/>
    </row>
    <row r="84" spans="1:56" s="118" customFormat="1" ht="12.75" x14ac:dyDescent="0.2">
      <c r="A84" s="120"/>
      <c r="B84" s="120"/>
      <c r="C84" s="120"/>
      <c r="D84" s="250"/>
      <c r="E84" s="120"/>
      <c r="F84" s="120"/>
      <c r="G84" s="120"/>
      <c r="H84" s="120"/>
      <c r="I84" s="120"/>
      <c r="J84" s="125"/>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9">
        <f t="shared" si="7"/>
        <v>0</v>
      </c>
      <c r="AK84" s="120"/>
      <c r="AL84" s="129">
        <f t="shared" si="8"/>
        <v>0</v>
      </c>
      <c r="AM84" s="120"/>
      <c r="AN84" s="125"/>
      <c r="AO84" s="129" t="str">
        <f t="shared" si="6"/>
        <v>FALTAN DATOS</v>
      </c>
      <c r="AP84" s="120"/>
      <c r="AQ84" s="120"/>
      <c r="AR84" s="120"/>
      <c r="AS84" s="120"/>
      <c r="AT84" s="120"/>
      <c r="AU84" s="120"/>
      <c r="AV84" s="120"/>
      <c r="AW84" s="120"/>
      <c r="AX84" s="120"/>
      <c r="AY84" s="120"/>
      <c r="AZ84" s="120"/>
      <c r="BA84" s="120"/>
      <c r="BB84" s="120"/>
      <c r="BC84" s="120"/>
      <c r="BD84" s="120"/>
    </row>
    <row r="85" spans="1:56" s="118" customFormat="1" ht="12.75" x14ac:dyDescent="0.2">
      <c r="A85" s="120"/>
      <c r="B85" s="120"/>
      <c r="C85" s="120"/>
      <c r="D85" s="250"/>
      <c r="E85" s="120"/>
      <c r="F85" s="120"/>
      <c r="G85" s="120"/>
      <c r="H85" s="120"/>
      <c r="I85" s="120"/>
      <c r="J85" s="125"/>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9">
        <f t="shared" si="7"/>
        <v>0</v>
      </c>
      <c r="AK85" s="120"/>
      <c r="AL85" s="129">
        <f t="shared" si="8"/>
        <v>0</v>
      </c>
      <c r="AM85" s="120"/>
      <c r="AN85" s="125"/>
      <c r="AO85" s="129" t="str">
        <f t="shared" si="6"/>
        <v>FALTAN DATOS</v>
      </c>
      <c r="AP85" s="120"/>
      <c r="AQ85" s="120"/>
      <c r="AR85" s="120"/>
      <c r="AS85" s="120"/>
      <c r="AT85" s="120"/>
      <c r="AU85" s="120"/>
      <c r="AV85" s="120"/>
      <c r="AW85" s="120"/>
      <c r="AX85" s="120"/>
      <c r="AY85" s="120"/>
      <c r="AZ85" s="120"/>
      <c r="BA85" s="120"/>
      <c r="BB85" s="120"/>
      <c r="BC85" s="120"/>
      <c r="BD85" s="120"/>
    </row>
    <row r="86" spans="1:56" s="118" customFormat="1" ht="12.75" x14ac:dyDescent="0.2">
      <c r="A86" s="120"/>
      <c r="B86" s="120"/>
      <c r="C86" s="120"/>
      <c r="D86" s="250"/>
      <c r="E86" s="120"/>
      <c r="F86" s="120"/>
      <c r="G86" s="120"/>
      <c r="H86" s="120"/>
      <c r="I86" s="120"/>
      <c r="J86" s="125"/>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9">
        <f t="shared" si="7"/>
        <v>0</v>
      </c>
      <c r="AK86" s="120"/>
      <c r="AL86" s="129">
        <f t="shared" si="8"/>
        <v>0</v>
      </c>
      <c r="AM86" s="120"/>
      <c r="AN86" s="125"/>
      <c r="AO86" s="129" t="str">
        <f t="shared" si="6"/>
        <v>FALTAN DATOS</v>
      </c>
      <c r="AP86" s="120"/>
      <c r="AQ86" s="120"/>
      <c r="AR86" s="120"/>
      <c r="AS86" s="120"/>
      <c r="AT86" s="120"/>
      <c r="AU86" s="120"/>
      <c r="AV86" s="120"/>
      <c r="AW86" s="120"/>
      <c r="AX86" s="120"/>
      <c r="AY86" s="120"/>
      <c r="AZ86" s="120"/>
      <c r="BA86" s="120"/>
      <c r="BB86" s="120"/>
      <c r="BC86" s="120"/>
      <c r="BD86" s="120"/>
    </row>
    <row r="87" spans="1:56" s="118" customFormat="1" ht="12.75" x14ac:dyDescent="0.2">
      <c r="A87" s="120"/>
      <c r="B87" s="120"/>
      <c r="C87" s="120"/>
      <c r="D87" s="250"/>
      <c r="E87" s="120"/>
      <c r="F87" s="120"/>
      <c r="G87" s="120"/>
      <c r="H87" s="120"/>
      <c r="I87" s="120"/>
      <c r="J87" s="125"/>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9">
        <f t="shared" si="7"/>
        <v>0</v>
      </c>
      <c r="AK87" s="120"/>
      <c r="AL87" s="129">
        <f t="shared" si="8"/>
        <v>0</v>
      </c>
      <c r="AM87" s="120"/>
      <c r="AN87" s="125"/>
      <c r="AO87" s="129" t="str">
        <f t="shared" si="6"/>
        <v>FALTAN DATOS</v>
      </c>
      <c r="AP87" s="120"/>
      <c r="AQ87" s="120"/>
      <c r="AR87" s="120"/>
      <c r="AS87" s="120"/>
      <c r="AT87" s="120"/>
      <c r="AU87" s="120"/>
      <c r="AV87" s="120"/>
      <c r="AW87" s="120"/>
      <c r="AX87" s="120"/>
      <c r="AY87" s="120"/>
      <c r="AZ87" s="120"/>
      <c r="BA87" s="120"/>
      <c r="BB87" s="120"/>
      <c r="BC87" s="120"/>
      <c r="BD87" s="120"/>
    </row>
    <row r="88" spans="1:56" s="118" customFormat="1" ht="12.75" x14ac:dyDescent="0.2">
      <c r="A88" s="120"/>
      <c r="B88" s="120"/>
      <c r="C88" s="120"/>
      <c r="D88" s="250"/>
      <c r="E88" s="120"/>
      <c r="F88" s="120"/>
      <c r="G88" s="120"/>
      <c r="H88" s="120"/>
      <c r="I88" s="120"/>
      <c r="J88" s="125"/>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9">
        <f t="shared" si="7"/>
        <v>0</v>
      </c>
      <c r="AK88" s="120"/>
      <c r="AL88" s="129">
        <f t="shared" si="8"/>
        <v>0</v>
      </c>
      <c r="AM88" s="120"/>
      <c r="AN88" s="125"/>
      <c r="AO88" s="129" t="str">
        <f t="shared" si="6"/>
        <v>FALTAN DATOS</v>
      </c>
      <c r="AP88" s="120"/>
      <c r="AQ88" s="120"/>
      <c r="AR88" s="120"/>
      <c r="AS88" s="120"/>
      <c r="AT88" s="120"/>
      <c r="AU88" s="120"/>
      <c r="AV88" s="120"/>
      <c r="AW88" s="120"/>
      <c r="AX88" s="120"/>
      <c r="AY88" s="120"/>
      <c r="AZ88" s="120"/>
      <c r="BA88" s="120"/>
      <c r="BB88" s="120"/>
      <c r="BC88" s="120"/>
      <c r="BD88" s="120"/>
    </row>
    <row r="89" spans="1:56" s="118" customFormat="1" ht="12.75" x14ac:dyDescent="0.2">
      <c r="A89" s="120"/>
      <c r="B89" s="120"/>
      <c r="C89" s="120"/>
      <c r="D89" s="250"/>
      <c r="E89" s="120"/>
      <c r="F89" s="120"/>
      <c r="G89" s="120"/>
      <c r="H89" s="120"/>
      <c r="I89" s="120"/>
      <c r="J89" s="125"/>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9">
        <f t="shared" si="7"/>
        <v>0</v>
      </c>
      <c r="AK89" s="120"/>
      <c r="AL89" s="129">
        <f t="shared" si="8"/>
        <v>0</v>
      </c>
      <c r="AM89" s="120"/>
      <c r="AN89" s="125"/>
      <c r="AO89" s="129" t="str">
        <f t="shared" si="6"/>
        <v>FALTAN DATOS</v>
      </c>
      <c r="AP89" s="120"/>
      <c r="AQ89" s="120"/>
      <c r="AR89" s="120"/>
      <c r="AS89" s="120"/>
      <c r="AT89" s="120"/>
      <c r="AU89" s="120"/>
      <c r="AV89" s="120"/>
      <c r="AW89" s="120"/>
      <c r="AX89" s="120"/>
      <c r="AY89" s="120"/>
      <c r="AZ89" s="120"/>
      <c r="BA89" s="120"/>
      <c r="BB89" s="120"/>
      <c r="BC89" s="120"/>
      <c r="BD89" s="120"/>
    </row>
    <row r="90" spans="1:56" s="118" customFormat="1" ht="12.75" x14ac:dyDescent="0.2">
      <c r="A90" s="120"/>
      <c r="B90" s="120"/>
      <c r="C90" s="120"/>
      <c r="D90" s="250"/>
      <c r="E90" s="120"/>
      <c r="F90" s="120"/>
      <c r="G90" s="120"/>
      <c r="H90" s="120"/>
      <c r="I90" s="120"/>
      <c r="J90" s="125"/>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9">
        <f t="shared" si="7"/>
        <v>0</v>
      </c>
      <c r="AK90" s="120"/>
      <c r="AL90" s="129">
        <f t="shared" si="8"/>
        <v>0</v>
      </c>
      <c r="AM90" s="120"/>
      <c r="AN90" s="125"/>
      <c r="AO90" s="129" t="str">
        <f t="shared" si="6"/>
        <v>FALTAN DATOS</v>
      </c>
      <c r="AP90" s="120"/>
      <c r="AQ90" s="120"/>
      <c r="AR90" s="120"/>
      <c r="AS90" s="120"/>
      <c r="AT90" s="120"/>
      <c r="AU90" s="120"/>
      <c r="AV90" s="120"/>
      <c r="AW90" s="120"/>
      <c r="AX90" s="120"/>
      <c r="AY90" s="120"/>
      <c r="AZ90" s="120"/>
      <c r="BA90" s="120"/>
      <c r="BB90" s="120"/>
      <c r="BC90" s="120"/>
      <c r="BD90" s="120"/>
    </row>
    <row r="91" spans="1:56" s="118" customFormat="1" ht="12.75" x14ac:dyDescent="0.2">
      <c r="A91" s="120"/>
      <c r="B91" s="120"/>
      <c r="C91" s="120"/>
      <c r="D91" s="250"/>
      <c r="E91" s="120"/>
      <c r="F91" s="120"/>
      <c r="G91" s="120"/>
      <c r="H91" s="120"/>
      <c r="I91" s="120"/>
      <c r="J91" s="125"/>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9">
        <f t="shared" si="7"/>
        <v>0</v>
      </c>
      <c r="AK91" s="120"/>
      <c r="AL91" s="129">
        <f t="shared" si="8"/>
        <v>0</v>
      </c>
      <c r="AM91" s="120"/>
      <c r="AN91" s="125"/>
      <c r="AO91" s="129" t="str">
        <f t="shared" si="6"/>
        <v>FALTAN DATOS</v>
      </c>
      <c r="AP91" s="120"/>
      <c r="AQ91" s="120"/>
      <c r="AR91" s="120"/>
      <c r="AS91" s="120"/>
      <c r="AT91" s="120"/>
      <c r="AU91" s="120"/>
      <c r="AV91" s="120"/>
      <c r="AW91" s="120"/>
      <c r="AX91" s="120"/>
      <c r="AY91" s="120"/>
      <c r="AZ91" s="120"/>
      <c r="BA91" s="120"/>
      <c r="BB91" s="120"/>
      <c r="BC91" s="120"/>
      <c r="BD91" s="120"/>
    </row>
    <row r="92" spans="1:56" s="118" customFormat="1" ht="12.75" x14ac:dyDescent="0.2">
      <c r="A92" s="120"/>
      <c r="B92" s="120"/>
      <c r="C92" s="120"/>
      <c r="D92" s="250"/>
      <c r="E92" s="120"/>
      <c r="F92" s="120"/>
      <c r="G92" s="120"/>
      <c r="H92" s="120"/>
      <c r="I92" s="120"/>
      <c r="J92" s="125"/>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9">
        <f t="shared" si="7"/>
        <v>0</v>
      </c>
      <c r="AK92" s="120"/>
      <c r="AL92" s="129">
        <f t="shared" si="8"/>
        <v>0</v>
      </c>
      <c r="AM92" s="120"/>
      <c r="AN92" s="125"/>
      <c r="AO92" s="129" t="str">
        <f t="shared" si="6"/>
        <v>FALTAN DATOS</v>
      </c>
      <c r="AP92" s="120"/>
      <c r="AQ92" s="120"/>
      <c r="AR92" s="120"/>
      <c r="AS92" s="120"/>
      <c r="AT92" s="120"/>
      <c r="AU92" s="120"/>
      <c r="AV92" s="120"/>
      <c r="AW92" s="120"/>
      <c r="AX92" s="120"/>
      <c r="AY92" s="120"/>
      <c r="AZ92" s="120"/>
      <c r="BA92" s="120"/>
      <c r="BB92" s="120"/>
      <c r="BC92" s="120"/>
      <c r="BD92" s="120"/>
    </row>
    <row r="93" spans="1:56" s="118" customFormat="1" ht="12.75" x14ac:dyDescent="0.2">
      <c r="A93" s="120"/>
      <c r="B93" s="120"/>
      <c r="C93" s="120"/>
      <c r="D93" s="250"/>
      <c r="E93" s="120"/>
      <c r="F93" s="120"/>
      <c r="G93" s="120"/>
      <c r="H93" s="120"/>
      <c r="I93" s="120"/>
      <c r="J93" s="125"/>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9">
        <f t="shared" si="7"/>
        <v>0</v>
      </c>
      <c r="AK93" s="120"/>
      <c r="AL93" s="129">
        <f t="shared" si="8"/>
        <v>0</v>
      </c>
      <c r="AM93" s="120"/>
      <c r="AN93" s="125"/>
      <c r="AO93" s="129" t="str">
        <f t="shared" si="6"/>
        <v>FALTAN DATOS</v>
      </c>
      <c r="AP93" s="120"/>
      <c r="AQ93" s="120"/>
      <c r="AR93" s="120"/>
      <c r="AS93" s="120"/>
      <c r="AT93" s="120"/>
      <c r="AU93" s="120"/>
      <c r="AV93" s="120"/>
      <c r="AW93" s="120"/>
      <c r="AX93" s="120"/>
      <c r="AY93" s="120"/>
      <c r="AZ93" s="120"/>
      <c r="BA93" s="120"/>
      <c r="BB93" s="120"/>
      <c r="BC93" s="120"/>
      <c r="BD93" s="120"/>
    </row>
    <row r="94" spans="1:56" s="118" customFormat="1" ht="12.75" x14ac:dyDescent="0.2">
      <c r="A94" s="120"/>
      <c r="B94" s="120"/>
      <c r="C94" s="120"/>
      <c r="D94" s="250"/>
      <c r="E94" s="120"/>
      <c r="F94" s="120"/>
      <c r="G94" s="120"/>
      <c r="H94" s="120"/>
      <c r="I94" s="120"/>
      <c r="J94" s="125"/>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9">
        <f t="shared" si="7"/>
        <v>0</v>
      </c>
      <c r="AK94" s="120"/>
      <c r="AL94" s="129">
        <f t="shared" si="8"/>
        <v>0</v>
      </c>
      <c r="AM94" s="120"/>
      <c r="AN94" s="125"/>
      <c r="AO94" s="129" t="str">
        <f t="shared" si="6"/>
        <v>FALTAN DATOS</v>
      </c>
      <c r="AP94" s="120"/>
      <c r="AQ94" s="120"/>
      <c r="AR94" s="120"/>
      <c r="AS94" s="120"/>
      <c r="AT94" s="120"/>
      <c r="AU94" s="120"/>
      <c r="AV94" s="120"/>
      <c r="AW94" s="120"/>
      <c r="AX94" s="120"/>
      <c r="AY94" s="120"/>
      <c r="AZ94" s="120"/>
      <c r="BA94" s="120"/>
      <c r="BB94" s="120"/>
      <c r="BC94" s="120"/>
      <c r="BD94" s="120"/>
    </row>
    <row r="95" spans="1:56" s="118" customFormat="1" ht="12.75" x14ac:dyDescent="0.2">
      <c r="A95" s="120"/>
      <c r="B95" s="120"/>
      <c r="C95" s="120"/>
      <c r="D95" s="250"/>
      <c r="E95" s="120"/>
      <c r="F95" s="120"/>
      <c r="G95" s="120"/>
      <c r="H95" s="120"/>
      <c r="I95" s="120"/>
      <c r="J95" s="125"/>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9">
        <f t="shared" si="7"/>
        <v>0</v>
      </c>
      <c r="AK95" s="120"/>
      <c r="AL95" s="129">
        <f t="shared" si="8"/>
        <v>0</v>
      </c>
      <c r="AM95" s="120"/>
      <c r="AN95" s="125"/>
      <c r="AO95" s="129" t="str">
        <f t="shared" si="6"/>
        <v>FALTAN DATOS</v>
      </c>
      <c r="AP95" s="120"/>
      <c r="AQ95" s="120"/>
      <c r="AR95" s="120"/>
      <c r="AS95" s="120"/>
      <c r="AT95" s="120"/>
      <c r="AU95" s="120"/>
      <c r="AV95" s="120"/>
      <c r="AW95" s="120"/>
      <c r="AX95" s="120"/>
      <c r="AY95" s="120"/>
      <c r="AZ95" s="120"/>
      <c r="BA95" s="120"/>
      <c r="BB95" s="120"/>
      <c r="BC95" s="120"/>
      <c r="BD95" s="120"/>
    </row>
    <row r="96" spans="1:56" s="118" customFormat="1" ht="12.75" x14ac:dyDescent="0.2">
      <c r="A96" s="120"/>
      <c r="B96" s="120"/>
      <c r="C96" s="120"/>
      <c r="D96" s="250"/>
      <c r="E96" s="120"/>
      <c r="F96" s="120"/>
      <c r="G96" s="120"/>
      <c r="H96" s="120"/>
      <c r="I96" s="120"/>
      <c r="J96" s="125"/>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9">
        <f t="shared" si="7"/>
        <v>0</v>
      </c>
      <c r="AK96" s="120"/>
      <c r="AL96" s="129">
        <f t="shared" si="8"/>
        <v>0</v>
      </c>
      <c r="AM96" s="120"/>
      <c r="AN96" s="125"/>
      <c r="AO96" s="129" t="str">
        <f t="shared" si="6"/>
        <v>FALTAN DATOS</v>
      </c>
      <c r="AP96" s="120"/>
      <c r="AQ96" s="120"/>
      <c r="AR96" s="120"/>
      <c r="AS96" s="120"/>
      <c r="AT96" s="120"/>
      <c r="AU96" s="120"/>
      <c r="AV96" s="120"/>
      <c r="AW96" s="120"/>
      <c r="AX96" s="120"/>
      <c r="AY96" s="120"/>
      <c r="AZ96" s="120"/>
      <c r="BA96" s="120"/>
      <c r="BB96" s="120"/>
      <c r="BC96" s="120"/>
      <c r="BD96" s="120"/>
    </row>
    <row r="97" spans="1:56" s="118" customFormat="1" ht="12.75" x14ac:dyDescent="0.2">
      <c r="A97" s="120"/>
      <c r="B97" s="120"/>
      <c r="C97" s="120"/>
      <c r="D97" s="250"/>
      <c r="E97" s="120"/>
      <c r="F97" s="120"/>
      <c r="G97" s="120"/>
      <c r="H97" s="120"/>
      <c r="I97" s="120"/>
      <c r="J97" s="125"/>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9">
        <f t="shared" si="7"/>
        <v>0</v>
      </c>
      <c r="AK97" s="120"/>
      <c r="AL97" s="129">
        <f t="shared" si="8"/>
        <v>0</v>
      </c>
      <c r="AM97" s="120"/>
      <c r="AN97" s="125"/>
      <c r="AO97" s="129" t="str">
        <f t="shared" si="6"/>
        <v>FALTAN DATOS</v>
      </c>
      <c r="AP97" s="120"/>
      <c r="AQ97" s="120"/>
      <c r="AR97" s="120"/>
      <c r="AS97" s="120"/>
      <c r="AT97" s="120"/>
      <c r="AU97" s="120"/>
      <c r="AV97" s="120"/>
      <c r="AW97" s="120"/>
      <c r="AX97" s="120"/>
      <c r="AY97" s="120"/>
      <c r="AZ97" s="120"/>
      <c r="BA97" s="120"/>
      <c r="BB97" s="120"/>
      <c r="BC97" s="120"/>
      <c r="BD97" s="120"/>
    </row>
    <row r="98" spans="1:56" s="118" customFormat="1" ht="12.75" x14ac:dyDescent="0.2">
      <c r="A98" s="120"/>
      <c r="B98" s="120"/>
      <c r="C98" s="120"/>
      <c r="D98" s="250"/>
      <c r="E98" s="120"/>
      <c r="F98" s="120"/>
      <c r="G98" s="120"/>
      <c r="H98" s="120"/>
      <c r="I98" s="120"/>
      <c r="J98" s="125"/>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9">
        <f t="shared" si="7"/>
        <v>0</v>
      </c>
      <c r="AK98" s="120"/>
      <c r="AL98" s="129">
        <f t="shared" si="8"/>
        <v>0</v>
      </c>
      <c r="AM98" s="120"/>
      <c r="AN98" s="125"/>
      <c r="AO98" s="129" t="str">
        <f t="shared" si="6"/>
        <v>FALTAN DATOS</v>
      </c>
      <c r="AP98" s="120"/>
      <c r="AQ98" s="120"/>
      <c r="AR98" s="120"/>
      <c r="AS98" s="120"/>
      <c r="AT98" s="120"/>
      <c r="AU98" s="120"/>
      <c r="AV98" s="120"/>
      <c r="AW98" s="120"/>
      <c r="AX98" s="120"/>
      <c r="AY98" s="120"/>
      <c r="AZ98" s="120"/>
      <c r="BA98" s="120"/>
      <c r="BB98" s="120"/>
      <c r="BC98" s="120"/>
      <c r="BD98" s="120"/>
    </row>
    <row r="99" spans="1:56" s="118" customFormat="1" ht="12.75" x14ac:dyDescent="0.2">
      <c r="A99" s="120"/>
      <c r="B99" s="120"/>
      <c r="C99" s="120"/>
      <c r="D99" s="250"/>
      <c r="E99" s="120"/>
      <c r="F99" s="120"/>
      <c r="G99" s="120"/>
      <c r="H99" s="120"/>
      <c r="I99" s="120"/>
      <c r="J99" s="125"/>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9">
        <f t="shared" si="7"/>
        <v>0</v>
      </c>
      <c r="AK99" s="120"/>
      <c r="AL99" s="129">
        <f t="shared" si="8"/>
        <v>0</v>
      </c>
      <c r="AM99" s="120"/>
      <c r="AN99" s="125"/>
      <c r="AO99" s="129" t="str">
        <f t="shared" si="6"/>
        <v>FALTAN DATOS</v>
      </c>
      <c r="AP99" s="120"/>
      <c r="AQ99" s="120"/>
      <c r="AR99" s="120"/>
      <c r="AS99" s="120"/>
      <c r="AT99" s="120"/>
      <c r="AU99" s="120"/>
      <c r="AV99" s="120"/>
      <c r="AW99" s="120"/>
      <c r="AX99" s="120"/>
      <c r="AY99" s="120"/>
      <c r="AZ99" s="120"/>
      <c r="BA99" s="120"/>
      <c r="BB99" s="120"/>
      <c r="BC99" s="120"/>
      <c r="BD99" s="120"/>
    </row>
    <row r="100" spans="1:56" s="118" customFormat="1" ht="12.75" x14ac:dyDescent="0.2">
      <c r="A100" s="120"/>
      <c r="B100" s="120"/>
      <c r="C100" s="120"/>
      <c r="D100" s="250"/>
      <c r="E100" s="120"/>
      <c r="F100" s="120"/>
      <c r="G100" s="120"/>
      <c r="H100" s="120"/>
      <c r="I100" s="120"/>
      <c r="J100" s="125"/>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9">
        <f t="shared" si="7"/>
        <v>0</v>
      </c>
      <c r="AK100" s="120"/>
      <c r="AL100" s="129">
        <f t="shared" si="8"/>
        <v>0</v>
      </c>
      <c r="AM100" s="120"/>
      <c r="AN100" s="125"/>
      <c r="AO100" s="129" t="str">
        <f t="shared" si="6"/>
        <v>FALTAN DATOS</v>
      </c>
      <c r="AP100" s="120"/>
      <c r="AQ100" s="120"/>
      <c r="AR100" s="120"/>
      <c r="AS100" s="120"/>
      <c r="AT100" s="120"/>
      <c r="AU100" s="120"/>
      <c r="AV100" s="120"/>
      <c r="AW100" s="120"/>
      <c r="AX100" s="120"/>
      <c r="AY100" s="120"/>
      <c r="AZ100" s="120"/>
      <c r="BA100" s="120"/>
      <c r="BB100" s="120"/>
      <c r="BC100" s="120"/>
      <c r="BD100" s="120"/>
    </row>
  </sheetData>
  <mergeCells count="66">
    <mergeCell ref="A4:A6"/>
    <mergeCell ref="B4:D4"/>
    <mergeCell ref="E4:E6"/>
    <mergeCell ref="F4:F6"/>
    <mergeCell ref="G4:G6"/>
    <mergeCell ref="B5:B6"/>
    <mergeCell ref="C5:C6"/>
    <mergeCell ref="D5:D6"/>
    <mergeCell ref="Y4:AB4"/>
    <mergeCell ref="A1:H2"/>
    <mergeCell ref="I1:AT1"/>
    <mergeCell ref="AU1:BD2"/>
    <mergeCell ref="AL4:AL6"/>
    <mergeCell ref="AN4:AN6"/>
    <mergeCell ref="AC4:AD4"/>
    <mergeCell ref="AE4:AH4"/>
    <mergeCell ref="AC5:AC6"/>
    <mergeCell ref="AD5:AD6"/>
    <mergeCell ref="AE5:AE6"/>
    <mergeCell ref="M4:M6"/>
    <mergeCell ref="I2:AT2"/>
    <mergeCell ref="A3:H3"/>
    <mergeCell ref="I3:AT3"/>
    <mergeCell ref="AU3:BD3"/>
    <mergeCell ref="AF5:AF6"/>
    <mergeCell ref="X5:X6"/>
    <mergeCell ref="Y5:Z5"/>
    <mergeCell ref="AA5:AA6"/>
    <mergeCell ref="AB5:AB6"/>
    <mergeCell ref="V5:V6"/>
    <mergeCell ref="W5:W6"/>
    <mergeCell ref="N4:N6"/>
    <mergeCell ref="O4:O6"/>
    <mergeCell ref="P4:P6"/>
    <mergeCell ref="Q4:Q6"/>
    <mergeCell ref="R4:R6"/>
    <mergeCell ref="T4:T6"/>
    <mergeCell ref="U4:U6"/>
    <mergeCell ref="V4:X4"/>
    <mergeCell ref="S4:S6"/>
    <mergeCell ref="H4:H6"/>
    <mergeCell ref="I4:I6"/>
    <mergeCell ref="J4:J6"/>
    <mergeCell ref="K4:K6"/>
    <mergeCell ref="L4:L6"/>
    <mergeCell ref="BD4:BD6"/>
    <mergeCell ref="AW4:AW6"/>
    <mergeCell ref="AX4:AX6"/>
    <mergeCell ref="AG5:AG6"/>
    <mergeCell ref="AH5:AH6"/>
    <mergeCell ref="AK4:AK6"/>
    <mergeCell ref="AM4:AM6"/>
    <mergeCell ref="AO4:AO6"/>
    <mergeCell ref="AP4:AP6"/>
    <mergeCell ref="AI4:AI6"/>
    <mergeCell ref="AY4:AY6"/>
    <mergeCell ref="AZ4:AZ6"/>
    <mergeCell ref="BA4:BA6"/>
    <mergeCell ref="BB4:BC5"/>
    <mergeCell ref="AJ4:AJ6"/>
    <mergeCell ref="AQ4:AQ6"/>
    <mergeCell ref="AT4:AT6"/>
    <mergeCell ref="AU4:AU6"/>
    <mergeCell ref="AV4:AV6"/>
    <mergeCell ref="AR4:AR5"/>
    <mergeCell ref="AS4:AS5"/>
  </mergeCells>
  <conditionalFormatting sqref="AJ7:AJ100">
    <cfRule type="containsBlanks" dxfId="273" priority="3">
      <formula>LEN(TRIM(AJ7))=0</formula>
    </cfRule>
  </conditionalFormatting>
  <conditionalFormatting sqref="AL7:AL100">
    <cfRule type="containsBlanks" dxfId="272" priority="2">
      <formula>LEN(TRIM(AL7))=0</formula>
    </cfRule>
  </conditionalFormatting>
  <conditionalFormatting sqref="AO7:AO100">
    <cfRule type="containsBlanks" dxfId="271" priority="1">
      <formula>LEN(TRIM(AO7))=0</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BAC5D725-F0CD-4EA8-A7DA-753D861DF260}">
          <x14:formula1>
            <xm:f>Lista!$H$20:$H$22</xm:f>
          </x14:formula1>
          <xm:sqref>AM7:AM100 AN8:AN100</xm:sqref>
        </x14:dataValidation>
        <x14:dataValidation type="list" allowBlank="1" showInputMessage="1" showErrorMessage="1" xr:uid="{EE28090E-CE18-453F-A768-02D99C2BD023}">
          <x14:formula1>
            <xm:f>Lista!$F$20:$F$22</xm:f>
          </x14:formula1>
          <xm:sqref>AK7:AK100</xm:sqref>
        </x14:dataValidation>
        <x14:dataValidation type="list" allowBlank="1" showInputMessage="1" showErrorMessage="1" xr:uid="{A23F7661-BAAF-40FC-86DD-FD87D27BC368}">
          <x14:formula1>
            <xm:f>Lista!$D$25:$D$27</xm:f>
          </x14:formula1>
          <xm:sqref>AI7:AI100</xm:sqref>
        </x14:dataValidation>
        <x14:dataValidation type="list" allowBlank="1" showInputMessage="1" showErrorMessage="1" xr:uid="{F0691DE8-C628-4925-9E1F-E9ACFFBCEBF9}">
          <x14:formula1>
            <xm:f>Lista!$D$13:$D$15</xm:f>
          </x14:formula1>
          <xm:sqref>S7:S100</xm:sqref>
        </x14:dataValidation>
        <x14:dataValidation type="list" allowBlank="1" showInputMessage="1" showErrorMessage="1" xr:uid="{5C0C3B68-131A-4312-B2AE-381CCC598845}">
          <x14:formula1>
            <xm:f>Lista!$D$20:$D$22</xm:f>
          </x14:formula1>
          <xm:sqref>O7:O100</xm:sqref>
        </x14:dataValidation>
        <x14:dataValidation type="list" allowBlank="1" showInputMessage="1" showErrorMessage="1" xr:uid="{2263E761-96D3-429F-AE11-7FDA97D91DD4}">
          <x14:formula1>
            <xm:f>Lista!$B$5:$B$22</xm:f>
          </x14:formula1>
          <xm:sqref>D7:D100</xm:sqref>
        </x14:dataValidation>
        <x14:dataValidation type="list" allowBlank="1" showInputMessage="1" showErrorMessage="1" xr:uid="{5EFB20F5-61E2-4CA0-8EB9-73CB38B3232D}">
          <x14:formula1>
            <xm:f>'Terminos y definiciones'!$A$2:$A$9</xm:f>
          </x14:formula1>
          <xm:sqref>J7:J100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2" workbookViewId="0">
      <selection activeCell="G9" sqref="G9"/>
    </sheetView>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663" t="s">
        <v>68</v>
      </c>
      <c r="C1" s="664"/>
      <c r="D1" s="664"/>
      <c r="E1" s="664"/>
      <c r="F1" s="665"/>
    </row>
    <row r="2" spans="2:6" ht="16.5" thickBot="1" x14ac:dyDescent="0.3">
      <c r="B2" s="81"/>
      <c r="C2" s="81"/>
      <c r="D2" s="81"/>
      <c r="E2" s="81"/>
      <c r="F2" s="81"/>
    </row>
    <row r="3" spans="2:6" ht="16.5" thickBot="1" x14ac:dyDescent="0.25">
      <c r="B3" s="667" t="s">
        <v>54</v>
      </c>
      <c r="C3" s="668"/>
      <c r="D3" s="668"/>
      <c r="E3" s="93" t="s">
        <v>55</v>
      </c>
      <c r="F3" s="94" t="s">
        <v>56</v>
      </c>
    </row>
    <row r="4" spans="2:6" ht="31.5" x14ac:dyDescent="0.2">
      <c r="B4" s="669" t="s">
        <v>57</v>
      </c>
      <c r="C4" s="671" t="s">
        <v>12</v>
      </c>
      <c r="D4" s="82" t="s">
        <v>13</v>
      </c>
      <c r="E4" s="83" t="s">
        <v>58</v>
      </c>
      <c r="F4" s="84">
        <v>0.25</v>
      </c>
    </row>
    <row r="5" spans="2:6" ht="47.25" x14ac:dyDescent="0.2">
      <c r="B5" s="670"/>
      <c r="C5" s="672"/>
      <c r="D5" s="85" t="s">
        <v>14</v>
      </c>
      <c r="E5" s="86" t="s">
        <v>59</v>
      </c>
      <c r="F5" s="87">
        <v>0.15</v>
      </c>
    </row>
    <row r="6" spans="2:6" ht="47.25" x14ac:dyDescent="0.2">
      <c r="B6" s="670"/>
      <c r="C6" s="672"/>
      <c r="D6" s="85" t="s">
        <v>15</v>
      </c>
      <c r="E6" s="86" t="s">
        <v>60</v>
      </c>
      <c r="F6" s="87">
        <v>0.1</v>
      </c>
    </row>
    <row r="7" spans="2:6" ht="63" x14ac:dyDescent="0.2">
      <c r="B7" s="670"/>
      <c r="C7" s="672" t="s">
        <v>16</v>
      </c>
      <c r="D7" s="85" t="s">
        <v>9</v>
      </c>
      <c r="E7" s="86" t="s">
        <v>61</v>
      </c>
      <c r="F7" s="87">
        <v>0.25</v>
      </c>
    </row>
    <row r="8" spans="2:6" ht="31.5" x14ac:dyDescent="0.2">
      <c r="B8" s="670"/>
      <c r="C8" s="672"/>
      <c r="D8" s="85" t="s">
        <v>8</v>
      </c>
      <c r="E8" s="86" t="s">
        <v>62</v>
      </c>
      <c r="F8" s="87">
        <v>0.15</v>
      </c>
    </row>
    <row r="9" spans="2:6" ht="47.25" x14ac:dyDescent="0.2">
      <c r="B9" s="670" t="s">
        <v>142</v>
      </c>
      <c r="C9" s="672" t="s">
        <v>17</v>
      </c>
      <c r="D9" s="85" t="s">
        <v>18</v>
      </c>
      <c r="E9" s="86" t="s">
        <v>63</v>
      </c>
      <c r="F9" s="88" t="s">
        <v>64</v>
      </c>
    </row>
    <row r="10" spans="2:6" ht="63" x14ac:dyDescent="0.2">
      <c r="B10" s="670"/>
      <c r="C10" s="672"/>
      <c r="D10" s="85" t="s">
        <v>19</v>
      </c>
      <c r="E10" s="86" t="s">
        <v>65</v>
      </c>
      <c r="F10" s="88" t="s">
        <v>64</v>
      </c>
    </row>
    <row r="11" spans="2:6" ht="47.25" x14ac:dyDescent="0.2">
      <c r="B11" s="670"/>
      <c r="C11" s="672" t="s">
        <v>20</v>
      </c>
      <c r="D11" s="85" t="s">
        <v>21</v>
      </c>
      <c r="E11" s="86" t="s">
        <v>66</v>
      </c>
      <c r="F11" s="88" t="s">
        <v>64</v>
      </c>
    </row>
    <row r="12" spans="2:6" ht="47.25" x14ac:dyDescent="0.2">
      <c r="B12" s="670"/>
      <c r="C12" s="672"/>
      <c r="D12" s="85" t="s">
        <v>22</v>
      </c>
      <c r="E12" s="86" t="s">
        <v>67</v>
      </c>
      <c r="F12" s="88" t="s">
        <v>64</v>
      </c>
    </row>
    <row r="13" spans="2:6" ht="31.5" x14ac:dyDescent="0.2">
      <c r="B13" s="670"/>
      <c r="C13" s="672" t="s">
        <v>23</v>
      </c>
      <c r="D13" s="85" t="s">
        <v>108</v>
      </c>
      <c r="E13" s="86" t="s">
        <v>111</v>
      </c>
      <c r="F13" s="88" t="s">
        <v>64</v>
      </c>
    </row>
    <row r="14" spans="2:6" ht="32.25" thickBot="1" x14ac:dyDescent="0.25">
      <c r="B14" s="673"/>
      <c r="C14" s="674"/>
      <c r="D14" s="89" t="s">
        <v>109</v>
      </c>
      <c r="E14" s="90" t="s">
        <v>110</v>
      </c>
      <c r="F14" s="91" t="s">
        <v>64</v>
      </c>
    </row>
    <row r="15" spans="2:6" ht="49.5" customHeight="1" x14ac:dyDescent="0.2">
      <c r="B15" s="666" t="s">
        <v>139</v>
      </c>
      <c r="C15" s="666"/>
      <c r="D15" s="666"/>
      <c r="E15" s="666"/>
      <c r="F15" s="666"/>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28"/>
  <sheetViews>
    <sheetView topLeftCell="A3" workbookViewId="0">
      <selection activeCell="D18" sqref="D18"/>
    </sheetView>
  </sheetViews>
  <sheetFormatPr baseColWidth="10" defaultRowHeight="15" x14ac:dyDescent="0.25"/>
  <cols>
    <col min="2" max="15" width="11.42578125" style="118"/>
  </cols>
  <sheetData>
    <row r="2" spans="2:5" x14ac:dyDescent="0.25">
      <c r="B2" s="118" t="s">
        <v>30</v>
      </c>
      <c r="E2" s="118" t="s">
        <v>120</v>
      </c>
    </row>
    <row r="3" spans="2:5" x14ac:dyDescent="0.25">
      <c r="B3" s="118" t="s">
        <v>31</v>
      </c>
      <c r="E3" s="118" t="s">
        <v>119</v>
      </c>
    </row>
    <row r="4" spans="2:5" x14ac:dyDescent="0.25">
      <c r="B4" s="118" t="s">
        <v>123</v>
      </c>
      <c r="E4" s="118" t="s">
        <v>121</v>
      </c>
    </row>
    <row r="5" spans="2:5" x14ac:dyDescent="0.25">
      <c r="B5" s="118" t="s">
        <v>122</v>
      </c>
    </row>
    <row r="8" spans="2:5" x14ac:dyDescent="0.25">
      <c r="B8" s="118" t="s">
        <v>76</v>
      </c>
    </row>
    <row r="9" spans="2:5" x14ac:dyDescent="0.25">
      <c r="B9" s="118" t="s">
        <v>33</v>
      </c>
    </row>
    <row r="10" spans="2:5" x14ac:dyDescent="0.25">
      <c r="B10" s="118" t="s">
        <v>34</v>
      </c>
    </row>
    <row r="13" spans="2:5" x14ac:dyDescent="0.25">
      <c r="B13" s="118" t="s">
        <v>118</v>
      </c>
    </row>
    <row r="14" spans="2:5" x14ac:dyDescent="0.25">
      <c r="B14" s="118" t="s">
        <v>112</v>
      </c>
    </row>
    <row r="15" spans="2:5" x14ac:dyDescent="0.25">
      <c r="B15" s="118" t="s">
        <v>113</v>
      </c>
    </row>
    <row r="16" spans="2:5" x14ac:dyDescent="0.25">
      <c r="B16" s="118" t="s">
        <v>114</v>
      </c>
    </row>
    <row r="17" spans="2:2" x14ac:dyDescent="0.25">
      <c r="B17" s="118" t="s">
        <v>115</v>
      </c>
    </row>
    <row r="18" spans="2:2" x14ac:dyDescent="0.25">
      <c r="B18" s="118" t="s">
        <v>247</v>
      </c>
    </row>
    <row r="19" spans="2:2" x14ac:dyDescent="0.25">
      <c r="B19" s="118" t="s">
        <v>116</v>
      </c>
    </row>
    <row r="20" spans="2:2" x14ac:dyDescent="0.25">
      <c r="B20" s="118" t="s">
        <v>117</v>
      </c>
    </row>
    <row r="23" spans="2:2" x14ac:dyDescent="0.25">
      <c r="B23" s="118" t="s">
        <v>34</v>
      </c>
    </row>
    <row r="24" spans="2:2" x14ac:dyDescent="0.25">
      <c r="B24" s="118" t="s">
        <v>196</v>
      </c>
    </row>
    <row r="25" spans="2:2" x14ac:dyDescent="0.25">
      <c r="B25" s="118" t="s">
        <v>197</v>
      </c>
    </row>
    <row r="27" spans="2:2" x14ac:dyDescent="0.25">
      <c r="B27" s="118" t="s">
        <v>113</v>
      </c>
    </row>
    <row r="28" spans="2:2" x14ac:dyDescent="0.25">
      <c r="B28" s="118" t="s">
        <v>114</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6B71B-6F01-4925-BABE-739B58E60279}">
  <dimension ref="A4:N86"/>
  <sheetViews>
    <sheetView showGridLines="0" topLeftCell="E1" zoomScale="80" zoomScaleNormal="80" workbookViewId="0">
      <selection activeCell="F25" sqref="F25:M32"/>
    </sheetView>
  </sheetViews>
  <sheetFormatPr baseColWidth="10" defaultRowHeight="15" x14ac:dyDescent="0.25"/>
  <cols>
    <col min="2" max="2" width="40.85546875" style="124" customWidth="1"/>
    <col min="3" max="3" width="17.7109375" style="124" customWidth="1"/>
    <col min="4" max="4" width="28.42578125" customWidth="1"/>
    <col min="5" max="5" width="13" customWidth="1"/>
    <col min="6" max="6" width="37.7109375" customWidth="1"/>
    <col min="7" max="7" width="21.7109375" customWidth="1"/>
    <col min="8" max="8" width="32.140625" customWidth="1"/>
    <col min="14" max="14" width="54.7109375" customWidth="1"/>
  </cols>
  <sheetData>
    <row r="4" spans="2:14" x14ac:dyDescent="0.25">
      <c r="B4" s="138" t="s">
        <v>201</v>
      </c>
      <c r="D4" s="261"/>
      <c r="E4" s="262"/>
      <c r="F4" s="262"/>
      <c r="G4" s="262"/>
      <c r="H4" s="675"/>
      <c r="I4" s="675"/>
      <c r="J4" s="262"/>
      <c r="K4" s="118"/>
      <c r="N4" s="192" t="s">
        <v>1097</v>
      </c>
    </row>
    <row r="5" spans="2:14" ht="25.5" x14ac:dyDescent="0.25">
      <c r="B5" s="227" t="s">
        <v>289</v>
      </c>
      <c r="C5" s="127"/>
      <c r="D5" s="263"/>
      <c r="E5" s="263"/>
      <c r="F5" s="264"/>
      <c r="G5" s="265"/>
      <c r="H5" s="265"/>
      <c r="I5" s="266"/>
      <c r="J5" s="265"/>
      <c r="K5" s="118"/>
      <c r="N5" s="226" t="s">
        <v>1063</v>
      </c>
    </row>
    <row r="6" spans="2:14" x14ac:dyDescent="0.25">
      <c r="B6" s="227" t="s">
        <v>283</v>
      </c>
      <c r="C6" s="127"/>
      <c r="D6" s="263"/>
      <c r="E6" s="263"/>
      <c r="F6" s="264"/>
      <c r="G6" s="265"/>
      <c r="H6" s="265"/>
      <c r="I6" s="266"/>
      <c r="J6" s="265"/>
      <c r="K6" s="118"/>
      <c r="N6" s="226" t="s">
        <v>1059</v>
      </c>
    </row>
    <row r="7" spans="2:14" ht="25.5" x14ac:dyDescent="0.25">
      <c r="B7" s="227" t="s">
        <v>277</v>
      </c>
      <c r="C7" s="127"/>
      <c r="D7" s="263"/>
      <c r="E7" s="264"/>
      <c r="F7" s="264"/>
      <c r="G7" s="265"/>
      <c r="H7" s="265"/>
      <c r="I7" s="266"/>
      <c r="J7" s="265"/>
      <c r="K7" s="118"/>
      <c r="N7" s="226" t="s">
        <v>1055</v>
      </c>
    </row>
    <row r="8" spans="2:14" x14ac:dyDescent="0.25">
      <c r="B8" s="227" t="s">
        <v>270</v>
      </c>
      <c r="C8" s="127"/>
      <c r="D8" s="263"/>
      <c r="E8" s="263"/>
      <c r="F8" s="267"/>
      <c r="G8" s="267"/>
      <c r="H8" s="265"/>
      <c r="I8" s="267"/>
      <c r="J8" s="267"/>
      <c r="K8" s="118"/>
      <c r="N8" s="226" t="s">
        <v>1046</v>
      </c>
    </row>
    <row r="9" spans="2:14" ht="25.5" x14ac:dyDescent="0.25">
      <c r="B9" s="227" t="s">
        <v>266</v>
      </c>
      <c r="C9" s="127"/>
      <c r="D9" s="263"/>
      <c r="E9" s="267"/>
      <c r="F9" s="267"/>
      <c r="G9" s="267"/>
      <c r="H9" s="265"/>
      <c r="I9" s="267"/>
      <c r="J9" s="267"/>
      <c r="K9" s="118"/>
      <c r="N9" s="226" t="s">
        <v>1042</v>
      </c>
    </row>
    <row r="10" spans="2:14" ht="25.5" x14ac:dyDescent="0.25">
      <c r="B10" s="227" t="s">
        <v>262</v>
      </c>
      <c r="C10" s="127"/>
      <c r="D10" s="118"/>
      <c r="E10" s="118"/>
      <c r="F10" s="268"/>
      <c r="G10" s="268"/>
      <c r="H10" s="269" t="s">
        <v>260</v>
      </c>
      <c r="I10" s="118"/>
      <c r="J10" s="118"/>
      <c r="K10" s="118"/>
      <c r="N10" s="226" t="s">
        <v>1038</v>
      </c>
    </row>
    <row r="11" spans="2:14" ht="25.5" x14ac:dyDescent="0.25">
      <c r="B11" s="227" t="s">
        <v>259</v>
      </c>
      <c r="C11" s="127"/>
      <c r="D11" s="118"/>
      <c r="E11" s="118"/>
      <c r="F11" s="268"/>
      <c r="G11" s="268"/>
      <c r="H11" s="269" t="s">
        <v>257</v>
      </c>
      <c r="I11" s="118"/>
      <c r="J11" s="118"/>
      <c r="K11" s="118"/>
      <c r="N11" s="226" t="s">
        <v>1034</v>
      </c>
    </row>
    <row r="12" spans="2:14" ht="25.5" x14ac:dyDescent="0.25">
      <c r="B12" s="227" t="s">
        <v>256</v>
      </c>
      <c r="C12" s="127"/>
      <c r="D12" s="132" t="s">
        <v>1096</v>
      </c>
      <c r="E12" s="118"/>
      <c r="F12" s="270" t="s">
        <v>254</v>
      </c>
      <c r="G12" s="268"/>
      <c r="H12" s="269" t="s">
        <v>253</v>
      </c>
      <c r="I12" s="118"/>
      <c r="J12" s="118"/>
      <c r="K12" s="118"/>
      <c r="N12" s="226" t="s">
        <v>1027</v>
      </c>
    </row>
    <row r="13" spans="2:14" ht="33" customHeight="1" x14ac:dyDescent="0.25">
      <c r="B13" s="227" t="s">
        <v>252</v>
      </c>
      <c r="C13" s="127"/>
      <c r="D13" s="249" t="s">
        <v>1095</v>
      </c>
      <c r="E13" s="118"/>
      <c r="F13" s="269" t="s">
        <v>250</v>
      </c>
      <c r="G13" s="268"/>
      <c r="H13" s="269" t="s">
        <v>249</v>
      </c>
      <c r="I13" s="118"/>
      <c r="J13" s="118"/>
      <c r="K13" s="118"/>
      <c r="N13" s="226" t="s">
        <v>1023</v>
      </c>
    </row>
    <row r="14" spans="2:14" ht="32.25" customHeight="1" x14ac:dyDescent="0.25">
      <c r="B14" s="227" t="s">
        <v>248</v>
      </c>
      <c r="C14" s="127"/>
      <c r="D14" s="249" t="s">
        <v>1094</v>
      </c>
      <c r="E14" s="118"/>
      <c r="F14" s="269" t="s">
        <v>246</v>
      </c>
      <c r="G14" s="268"/>
      <c r="H14" s="268"/>
      <c r="I14" s="118"/>
      <c r="J14" s="118"/>
      <c r="K14" s="118"/>
      <c r="N14" s="226" t="s">
        <v>1019</v>
      </c>
    </row>
    <row r="15" spans="2:14" ht="32.25" customHeight="1" x14ac:dyDescent="0.25">
      <c r="B15" s="121" t="s">
        <v>245</v>
      </c>
      <c r="C15" s="127"/>
      <c r="D15" s="249" t="s">
        <v>1093</v>
      </c>
      <c r="E15" s="118"/>
      <c r="F15" s="269" t="s">
        <v>244</v>
      </c>
      <c r="G15" s="268"/>
      <c r="H15" s="268"/>
      <c r="I15" s="118"/>
      <c r="J15" s="118"/>
      <c r="K15" s="118"/>
      <c r="N15" s="226" t="s">
        <v>1013</v>
      </c>
    </row>
    <row r="16" spans="2:14" ht="38.25" x14ac:dyDescent="0.25">
      <c r="B16" s="227" t="s">
        <v>198</v>
      </c>
      <c r="C16" s="127"/>
      <c r="D16" s="118"/>
      <c r="E16" s="118"/>
      <c r="F16" s="118"/>
      <c r="G16" s="118"/>
      <c r="H16" s="118"/>
      <c r="I16" s="118"/>
      <c r="J16" s="118"/>
      <c r="K16" s="118"/>
      <c r="N16" s="226" t="s">
        <v>1010</v>
      </c>
    </row>
    <row r="17" spans="1:14" ht="25.5" x14ac:dyDescent="0.25">
      <c r="B17" s="227" t="s">
        <v>243</v>
      </c>
      <c r="C17" s="127"/>
      <c r="D17" s="118"/>
      <c r="E17" s="118"/>
      <c r="F17" s="118"/>
      <c r="G17" s="118"/>
      <c r="H17" s="118"/>
      <c r="I17" s="118"/>
      <c r="J17" s="118"/>
      <c r="K17" s="118"/>
      <c r="N17" s="226" t="s">
        <v>1006</v>
      </c>
    </row>
    <row r="18" spans="1:14" ht="38.25" x14ac:dyDescent="0.25">
      <c r="B18" s="227" t="s">
        <v>242</v>
      </c>
      <c r="C18" s="127"/>
      <c r="D18" s="127"/>
      <c r="E18" s="118"/>
      <c r="F18" s="127"/>
      <c r="G18" s="118"/>
      <c r="H18" s="118"/>
      <c r="I18" s="118"/>
      <c r="J18" s="118"/>
      <c r="K18" s="118"/>
      <c r="N18" s="226" t="s">
        <v>1002</v>
      </c>
    </row>
    <row r="19" spans="1:14" ht="27" customHeight="1" x14ac:dyDescent="0.25">
      <c r="B19" s="227" t="s">
        <v>241</v>
      </c>
      <c r="C19" s="127"/>
      <c r="D19" s="139" t="s">
        <v>1092</v>
      </c>
      <c r="E19" s="118"/>
      <c r="F19" s="139" t="s">
        <v>1091</v>
      </c>
      <c r="G19" s="118"/>
      <c r="H19" s="139" t="s">
        <v>1090</v>
      </c>
      <c r="I19" s="118"/>
      <c r="J19" s="118"/>
      <c r="K19" s="118"/>
      <c r="N19" s="226" t="s">
        <v>998</v>
      </c>
    </row>
    <row r="20" spans="1:14" ht="25.5" x14ac:dyDescent="0.25">
      <c r="B20" s="227" t="s">
        <v>240</v>
      </c>
      <c r="C20" s="127"/>
      <c r="D20" s="248" t="s">
        <v>1089</v>
      </c>
      <c r="E20" s="118"/>
      <c r="F20" s="120" t="s">
        <v>70</v>
      </c>
      <c r="G20" s="118"/>
      <c r="H20" s="120" t="s">
        <v>70</v>
      </c>
      <c r="I20" s="118"/>
      <c r="J20" s="118"/>
      <c r="K20" s="118"/>
      <c r="N20" s="226" t="s">
        <v>994</v>
      </c>
    </row>
    <row r="21" spans="1:14" ht="38.25" x14ac:dyDescent="0.25">
      <c r="B21" s="227" t="s">
        <v>239</v>
      </c>
      <c r="C21" s="127"/>
      <c r="D21" s="248" t="s">
        <v>1088</v>
      </c>
      <c r="E21" s="118"/>
      <c r="F21" s="120" t="s">
        <v>1087</v>
      </c>
      <c r="G21" s="118"/>
      <c r="H21" s="120" t="s">
        <v>1087</v>
      </c>
      <c r="I21" s="118"/>
      <c r="J21" s="118"/>
      <c r="K21" s="118"/>
      <c r="N21" s="226" t="s">
        <v>984</v>
      </c>
    </row>
    <row r="22" spans="1:14" ht="25.5" x14ac:dyDescent="0.25">
      <c r="B22" s="227" t="s">
        <v>238</v>
      </c>
      <c r="C22" s="127"/>
      <c r="D22" s="248" t="s">
        <v>1086</v>
      </c>
      <c r="E22" s="118"/>
      <c r="F22" s="120" t="s">
        <v>72</v>
      </c>
      <c r="G22" s="118"/>
      <c r="H22" s="120" t="s">
        <v>72</v>
      </c>
      <c r="I22" s="118"/>
      <c r="J22" s="118"/>
      <c r="K22" s="118"/>
      <c r="N22" s="226" t="s">
        <v>975</v>
      </c>
    </row>
    <row r="23" spans="1:14" ht="25.5" x14ac:dyDescent="0.25">
      <c r="N23" s="226" t="s">
        <v>965</v>
      </c>
    </row>
    <row r="24" spans="1:14" ht="38.25" x14ac:dyDescent="0.25">
      <c r="D24" s="139" t="s">
        <v>1085</v>
      </c>
      <c r="N24" s="226" t="s">
        <v>962</v>
      </c>
    </row>
    <row r="25" spans="1:14" ht="38.25" x14ac:dyDescent="0.25">
      <c r="A25" s="118"/>
      <c r="B25" s="118"/>
      <c r="C25" s="118"/>
      <c r="D25" s="120" t="s">
        <v>1084</v>
      </c>
      <c r="E25" s="118"/>
      <c r="F25" s="275"/>
      <c r="G25" s="276"/>
      <c r="H25" s="276"/>
      <c r="I25" s="276"/>
      <c r="J25" s="276"/>
      <c r="K25" s="276"/>
      <c r="L25" s="276"/>
      <c r="M25" s="277"/>
      <c r="N25" s="274" t="s">
        <v>958</v>
      </c>
    </row>
    <row r="26" spans="1:14" ht="38.25" x14ac:dyDescent="0.25">
      <c r="A26" s="118"/>
      <c r="B26" s="118"/>
      <c r="C26" s="118"/>
      <c r="D26" s="120" t="s">
        <v>1083</v>
      </c>
      <c r="E26" s="118"/>
      <c r="F26" s="275"/>
      <c r="G26" s="276"/>
      <c r="H26" s="276"/>
      <c r="I26" s="276"/>
      <c r="J26" s="276"/>
      <c r="K26" s="276"/>
      <c r="L26" s="278"/>
      <c r="M26" s="277"/>
      <c r="N26" s="274" t="s">
        <v>951</v>
      </c>
    </row>
    <row r="27" spans="1:14" ht="25.5" x14ac:dyDescent="0.25">
      <c r="A27" s="118"/>
      <c r="B27" s="118"/>
      <c r="C27" s="118"/>
      <c r="D27" s="120" t="s">
        <v>1082</v>
      </c>
      <c r="E27" s="118"/>
      <c r="F27" s="275"/>
      <c r="G27" s="276"/>
      <c r="H27" s="276"/>
      <c r="I27" s="276"/>
      <c r="J27" s="276"/>
      <c r="K27" s="276"/>
      <c r="L27" s="276"/>
      <c r="M27" s="277"/>
      <c r="N27" s="274" t="s">
        <v>947</v>
      </c>
    </row>
    <row r="28" spans="1:14" ht="38.25" x14ac:dyDescent="0.25">
      <c r="A28" s="118"/>
      <c r="B28" s="118"/>
      <c r="C28" s="118"/>
      <c r="D28" s="118"/>
      <c r="E28" s="118"/>
      <c r="F28" s="275"/>
      <c r="G28" s="276"/>
      <c r="H28" s="276"/>
      <c r="I28" s="276"/>
      <c r="J28" s="276"/>
      <c r="K28" s="276"/>
      <c r="L28" s="276"/>
      <c r="M28" s="277"/>
      <c r="N28" s="274" t="s">
        <v>940</v>
      </c>
    </row>
    <row r="29" spans="1:14" ht="25.5" x14ac:dyDescent="0.25">
      <c r="A29" s="118"/>
      <c r="B29" s="118"/>
      <c r="C29" s="118"/>
      <c r="D29" s="118"/>
      <c r="E29" s="118"/>
      <c r="F29" s="275"/>
      <c r="G29" s="276"/>
      <c r="H29" s="276"/>
      <c r="I29" s="276"/>
      <c r="J29" s="276"/>
      <c r="K29" s="276"/>
      <c r="L29" s="276"/>
      <c r="M29" s="277"/>
      <c r="N29" s="274" t="s">
        <v>931</v>
      </c>
    </row>
    <row r="30" spans="1:14" ht="25.5" x14ac:dyDescent="0.25">
      <c r="A30" s="118"/>
      <c r="B30" s="118"/>
      <c r="C30" s="118"/>
      <c r="D30" s="118"/>
      <c r="E30" s="118"/>
      <c r="F30" s="275"/>
      <c r="G30" s="276"/>
      <c r="H30" s="276"/>
      <c r="I30" s="276"/>
      <c r="J30" s="276"/>
      <c r="K30" s="276"/>
      <c r="L30" s="276"/>
      <c r="M30" s="277"/>
      <c r="N30" s="274" t="s">
        <v>927</v>
      </c>
    </row>
    <row r="31" spans="1:14" ht="25.5" x14ac:dyDescent="0.25">
      <c r="F31" s="277"/>
      <c r="G31" s="277"/>
      <c r="H31" s="277"/>
      <c r="I31" s="277"/>
      <c r="J31" s="277"/>
      <c r="K31" s="277"/>
      <c r="L31" s="277"/>
      <c r="M31" s="277"/>
      <c r="N31" s="274" t="s">
        <v>917</v>
      </c>
    </row>
    <row r="32" spans="1:14" ht="25.5" x14ac:dyDescent="0.25">
      <c r="F32" s="277"/>
      <c r="G32" s="277"/>
      <c r="H32" s="277"/>
      <c r="I32" s="277"/>
      <c r="J32" s="277"/>
      <c r="K32" s="277"/>
      <c r="L32" s="277"/>
      <c r="M32" s="277"/>
      <c r="N32" s="274" t="s">
        <v>907</v>
      </c>
    </row>
    <row r="33" spans="14:14" x14ac:dyDescent="0.25">
      <c r="N33" s="234" t="s">
        <v>903</v>
      </c>
    </row>
    <row r="34" spans="14:14" x14ac:dyDescent="0.25">
      <c r="N34" s="226" t="s">
        <v>896</v>
      </c>
    </row>
    <row r="35" spans="14:14" ht="38.25" x14ac:dyDescent="0.25">
      <c r="N35" s="226" t="s">
        <v>892</v>
      </c>
    </row>
    <row r="36" spans="14:14" x14ac:dyDescent="0.25">
      <c r="N36" s="226" t="s">
        <v>888</v>
      </c>
    </row>
    <row r="37" spans="14:14" x14ac:dyDescent="0.25">
      <c r="N37" s="226" t="s">
        <v>884</v>
      </c>
    </row>
    <row r="38" spans="14:14" ht="25.5" x14ac:dyDescent="0.25">
      <c r="N38" s="226" t="s">
        <v>877</v>
      </c>
    </row>
    <row r="39" spans="14:14" x14ac:dyDescent="0.25">
      <c r="N39" s="226" t="s">
        <v>857</v>
      </c>
    </row>
    <row r="40" spans="14:14" ht="38.25" x14ac:dyDescent="0.25">
      <c r="N40" s="226" t="s">
        <v>853</v>
      </c>
    </row>
    <row r="41" spans="14:14" x14ac:dyDescent="0.25">
      <c r="N41" s="226" t="s">
        <v>849</v>
      </c>
    </row>
    <row r="42" spans="14:14" x14ac:dyDescent="0.25">
      <c r="N42" s="226" t="s">
        <v>845</v>
      </c>
    </row>
    <row r="43" spans="14:14" ht="25.5" x14ac:dyDescent="0.25">
      <c r="N43" s="226" t="s">
        <v>841</v>
      </c>
    </row>
    <row r="44" spans="14:14" ht="25.5" x14ac:dyDescent="0.25">
      <c r="N44" s="226" t="s">
        <v>831</v>
      </c>
    </row>
    <row r="45" spans="14:14" x14ac:dyDescent="0.25">
      <c r="N45" s="226" t="s">
        <v>827</v>
      </c>
    </row>
    <row r="46" spans="14:14" ht="25.5" x14ac:dyDescent="0.25">
      <c r="N46" s="226" t="s">
        <v>823</v>
      </c>
    </row>
    <row r="47" spans="14:14" ht="25.5" x14ac:dyDescent="0.25">
      <c r="N47" s="226" t="s">
        <v>819</v>
      </c>
    </row>
    <row r="48" spans="14:14" ht="25.5" x14ac:dyDescent="0.25">
      <c r="N48" s="226" t="s">
        <v>815</v>
      </c>
    </row>
    <row r="49" spans="14:14" ht="25.5" x14ac:dyDescent="0.25">
      <c r="N49" s="226" t="s">
        <v>811</v>
      </c>
    </row>
    <row r="50" spans="14:14" x14ac:dyDescent="0.25">
      <c r="N50" s="226" t="s">
        <v>807</v>
      </c>
    </row>
    <row r="51" spans="14:14" ht="25.5" x14ac:dyDescent="0.25">
      <c r="N51" s="226" t="s">
        <v>803</v>
      </c>
    </row>
    <row r="52" spans="14:14" x14ac:dyDescent="0.25">
      <c r="N52" s="226" t="s">
        <v>799</v>
      </c>
    </row>
    <row r="53" spans="14:14" x14ac:dyDescent="0.25">
      <c r="N53" s="226" t="s">
        <v>796</v>
      </c>
    </row>
    <row r="54" spans="14:14" x14ac:dyDescent="0.25">
      <c r="N54" s="234" t="s">
        <v>792</v>
      </c>
    </row>
    <row r="55" spans="14:14" ht="25.5" x14ac:dyDescent="0.25">
      <c r="N55" s="226" t="s">
        <v>788</v>
      </c>
    </row>
    <row r="56" spans="14:14" ht="25.5" x14ac:dyDescent="0.25">
      <c r="N56" s="226" t="s">
        <v>784</v>
      </c>
    </row>
    <row r="57" spans="14:14" ht="38.25" x14ac:dyDescent="0.25">
      <c r="N57" s="226" t="s">
        <v>780</v>
      </c>
    </row>
    <row r="58" spans="14:14" ht="25.5" x14ac:dyDescent="0.25">
      <c r="N58" s="226" t="s">
        <v>776</v>
      </c>
    </row>
    <row r="59" spans="14:14" x14ac:dyDescent="0.25">
      <c r="N59" s="226" t="s">
        <v>772</v>
      </c>
    </row>
    <row r="60" spans="14:14" ht="25.5" x14ac:dyDescent="0.25">
      <c r="N60" s="226" t="s">
        <v>768</v>
      </c>
    </row>
    <row r="61" spans="14:14" ht="25.5" x14ac:dyDescent="0.25">
      <c r="N61" s="226" t="s">
        <v>764</v>
      </c>
    </row>
    <row r="62" spans="14:14" ht="25.5" x14ac:dyDescent="0.25">
      <c r="N62" s="226" t="s">
        <v>760</v>
      </c>
    </row>
    <row r="63" spans="14:14" x14ac:dyDescent="0.25">
      <c r="N63" s="226" t="s">
        <v>756</v>
      </c>
    </row>
    <row r="64" spans="14:14" ht="25.5" x14ac:dyDescent="0.25">
      <c r="N64" s="226" t="s">
        <v>752</v>
      </c>
    </row>
    <row r="65" spans="14:14" ht="25.5" x14ac:dyDescent="0.25">
      <c r="N65" s="226" t="s">
        <v>748</v>
      </c>
    </row>
    <row r="66" spans="14:14" ht="25.5" x14ac:dyDescent="0.25">
      <c r="N66" s="226" t="s">
        <v>743</v>
      </c>
    </row>
    <row r="67" spans="14:14" ht="25.5" x14ac:dyDescent="0.25">
      <c r="N67" s="226" t="s">
        <v>739</v>
      </c>
    </row>
    <row r="68" spans="14:14" ht="25.5" x14ac:dyDescent="0.25">
      <c r="N68" s="226" t="s">
        <v>732</v>
      </c>
    </row>
    <row r="69" spans="14:14" ht="38.25" x14ac:dyDescent="0.25">
      <c r="N69" s="226" t="s">
        <v>725</v>
      </c>
    </row>
    <row r="70" spans="14:14" ht="25.5" x14ac:dyDescent="0.25">
      <c r="N70" s="226" t="s">
        <v>721</v>
      </c>
    </row>
    <row r="71" spans="14:14" ht="25.5" x14ac:dyDescent="0.25">
      <c r="N71" s="226" t="s">
        <v>706</v>
      </c>
    </row>
    <row r="72" spans="14:14" x14ac:dyDescent="0.25">
      <c r="N72" s="226" t="s">
        <v>702</v>
      </c>
    </row>
    <row r="73" spans="14:14" x14ac:dyDescent="0.25">
      <c r="N73" s="226" t="s">
        <v>698</v>
      </c>
    </row>
    <row r="74" spans="14:14" ht="38.25" x14ac:dyDescent="0.25">
      <c r="N74" s="226" t="s">
        <v>694</v>
      </c>
    </row>
    <row r="75" spans="14:14" ht="25.5" x14ac:dyDescent="0.25">
      <c r="N75" s="226" t="s">
        <v>687</v>
      </c>
    </row>
    <row r="76" spans="14:14" ht="25.5" x14ac:dyDescent="0.25">
      <c r="N76" s="226" t="s">
        <v>683</v>
      </c>
    </row>
    <row r="77" spans="14:14" ht="25.5" x14ac:dyDescent="0.25">
      <c r="N77" s="226" t="s">
        <v>679</v>
      </c>
    </row>
    <row r="78" spans="14:14" x14ac:dyDescent="0.25">
      <c r="N78" s="226" t="s">
        <v>671</v>
      </c>
    </row>
    <row r="79" spans="14:14" ht="38.25" x14ac:dyDescent="0.25">
      <c r="N79" s="226" t="s">
        <v>637</v>
      </c>
    </row>
    <row r="80" spans="14:14" ht="25.5" x14ac:dyDescent="0.25">
      <c r="N80" s="226" t="s">
        <v>633</v>
      </c>
    </row>
    <row r="81" spans="14:14" ht="25.5" x14ac:dyDescent="0.25">
      <c r="N81" s="226" t="s">
        <v>606</v>
      </c>
    </row>
    <row r="82" spans="14:14" ht="25.5" x14ac:dyDescent="0.25">
      <c r="N82" s="226" t="s">
        <v>591</v>
      </c>
    </row>
    <row r="83" spans="14:14" ht="38.25" x14ac:dyDescent="0.25">
      <c r="N83" s="226" t="s">
        <v>587</v>
      </c>
    </row>
    <row r="84" spans="14:14" ht="25.5" x14ac:dyDescent="0.25">
      <c r="N84" s="226" t="s">
        <v>583</v>
      </c>
    </row>
    <row r="85" spans="14:14" ht="38.25" x14ac:dyDescent="0.25">
      <c r="N85" s="226" t="s">
        <v>579</v>
      </c>
    </row>
    <row r="86" spans="14:14" ht="25.5" x14ac:dyDescent="0.25">
      <c r="N86" s="226" t="s">
        <v>520</v>
      </c>
    </row>
  </sheetData>
  <mergeCells count="1">
    <mergeCell ref="H4:I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4CCDE-04F8-40E8-8AD2-1511999256B4}">
  <dimension ref="A4:L42"/>
  <sheetViews>
    <sheetView topLeftCell="A16" zoomScale="80" zoomScaleNormal="80" workbookViewId="0">
      <selection activeCell="W53" sqref="W53"/>
    </sheetView>
  </sheetViews>
  <sheetFormatPr baseColWidth="10" defaultRowHeight="15" x14ac:dyDescent="0.25"/>
  <cols>
    <col min="2" max="2" width="40.85546875" style="124" customWidth="1"/>
    <col min="3" max="3" width="17.7109375" style="124" hidden="1" customWidth="1"/>
    <col min="4" max="4" width="13.28515625" hidden="1" customWidth="1"/>
    <col min="5" max="5" width="13" hidden="1" customWidth="1"/>
    <col min="6" max="6" width="37.7109375" hidden="1" customWidth="1"/>
    <col min="7" max="7" width="21.7109375" hidden="1" customWidth="1"/>
    <col min="8" max="8" width="18" hidden="1" customWidth="1"/>
    <col min="9" max="13" width="0" hidden="1" customWidth="1"/>
  </cols>
  <sheetData>
    <row r="4" spans="2:11" ht="25.5" x14ac:dyDescent="0.25">
      <c r="B4" s="138" t="s">
        <v>201</v>
      </c>
      <c r="C4" s="139" t="s">
        <v>295</v>
      </c>
      <c r="D4" s="138" t="s">
        <v>220</v>
      </c>
      <c r="E4" s="137" t="s">
        <v>294</v>
      </c>
      <c r="F4" s="137" t="s">
        <v>293</v>
      </c>
      <c r="G4" s="136" t="s">
        <v>292</v>
      </c>
      <c r="H4" s="676" t="s">
        <v>291</v>
      </c>
      <c r="I4" s="676"/>
      <c r="J4" s="136" t="s">
        <v>290</v>
      </c>
      <c r="K4" s="118"/>
    </row>
    <row r="5" spans="2:11" ht="25.5" x14ac:dyDescent="0.25">
      <c r="B5" s="128" t="s">
        <v>289</v>
      </c>
      <c r="C5" s="127" t="s">
        <v>288</v>
      </c>
      <c r="D5" s="133" t="s">
        <v>287</v>
      </c>
      <c r="E5" s="133" t="s">
        <v>31</v>
      </c>
      <c r="F5" s="135" t="s">
        <v>286</v>
      </c>
      <c r="G5" s="131" t="s">
        <v>285</v>
      </c>
      <c r="H5" s="131" t="s">
        <v>284</v>
      </c>
      <c r="I5" s="134">
        <v>100</v>
      </c>
      <c r="J5" s="131" t="s">
        <v>13</v>
      </c>
      <c r="K5" s="118"/>
    </row>
    <row r="6" spans="2:11" ht="25.5" x14ac:dyDescent="0.25">
      <c r="B6" s="128" t="s">
        <v>283</v>
      </c>
      <c r="C6" s="127" t="s">
        <v>282</v>
      </c>
      <c r="D6" s="133" t="s">
        <v>281</v>
      </c>
      <c r="E6" s="133" t="s">
        <v>29</v>
      </c>
      <c r="F6" s="135" t="s">
        <v>280</v>
      </c>
      <c r="G6" s="131" t="s">
        <v>279</v>
      </c>
      <c r="H6" s="131" t="s">
        <v>278</v>
      </c>
      <c r="I6" s="134">
        <v>50</v>
      </c>
      <c r="J6" s="131" t="s">
        <v>14</v>
      </c>
      <c r="K6" s="118"/>
    </row>
    <row r="7" spans="2:11" ht="25.5" x14ac:dyDescent="0.25">
      <c r="B7" s="128" t="s">
        <v>277</v>
      </c>
      <c r="C7" s="127" t="s">
        <v>276</v>
      </c>
      <c r="D7" s="133" t="s">
        <v>275</v>
      </c>
      <c r="E7" s="135" t="s">
        <v>274</v>
      </c>
      <c r="F7" s="135" t="s">
        <v>273</v>
      </c>
      <c r="G7" s="131" t="s">
        <v>272</v>
      </c>
      <c r="H7" s="131" t="s">
        <v>271</v>
      </c>
      <c r="I7" s="134">
        <v>0</v>
      </c>
      <c r="J7" s="131"/>
      <c r="K7" s="118"/>
    </row>
    <row r="8" spans="2:11" ht="25.5" x14ac:dyDescent="0.25">
      <c r="B8" s="128" t="s">
        <v>270</v>
      </c>
      <c r="C8" s="127" t="s">
        <v>269</v>
      </c>
      <c r="D8" s="133" t="s">
        <v>268</v>
      </c>
      <c r="E8" s="133" t="s">
        <v>30</v>
      </c>
      <c r="F8" s="118"/>
      <c r="G8" s="118"/>
      <c r="H8" s="131" t="s">
        <v>267</v>
      </c>
      <c r="I8" s="118"/>
      <c r="J8" s="118"/>
      <c r="K8" s="118"/>
    </row>
    <row r="9" spans="2:11" ht="25.5" x14ac:dyDescent="0.25">
      <c r="B9" s="128" t="s">
        <v>266</v>
      </c>
      <c r="C9" s="127" t="s">
        <v>265</v>
      </c>
      <c r="D9" s="133" t="s">
        <v>264</v>
      </c>
      <c r="E9" s="118"/>
      <c r="F9" s="118"/>
      <c r="G9" s="118"/>
      <c r="H9" s="131" t="s">
        <v>263</v>
      </c>
      <c r="I9" s="118"/>
      <c r="J9" s="118"/>
      <c r="K9" s="118"/>
    </row>
    <row r="10" spans="2:11" ht="25.5" x14ac:dyDescent="0.25">
      <c r="B10" s="128" t="s">
        <v>262</v>
      </c>
      <c r="C10" s="127" t="s">
        <v>261</v>
      </c>
      <c r="D10" s="118"/>
      <c r="E10" s="118"/>
      <c r="F10" s="118"/>
      <c r="G10" s="118"/>
      <c r="H10" s="131" t="s">
        <v>260</v>
      </c>
      <c r="I10" s="118"/>
      <c r="J10" s="118"/>
      <c r="K10" s="118"/>
    </row>
    <row r="11" spans="2:11" ht="25.5" x14ac:dyDescent="0.25">
      <c r="B11" s="128" t="s">
        <v>259</v>
      </c>
      <c r="C11" s="127" t="s">
        <v>258</v>
      </c>
      <c r="D11" s="118"/>
      <c r="E11" s="118"/>
      <c r="F11" s="118"/>
      <c r="G11" s="118"/>
      <c r="H11" s="131" t="s">
        <v>257</v>
      </c>
      <c r="I11" s="118"/>
      <c r="J11" s="118"/>
      <c r="K11" s="118"/>
    </row>
    <row r="12" spans="2:11" ht="25.5" x14ac:dyDescent="0.25">
      <c r="B12" s="128" t="s">
        <v>256</v>
      </c>
      <c r="C12" s="127" t="s">
        <v>255</v>
      </c>
      <c r="D12" s="118"/>
      <c r="E12" s="118"/>
      <c r="F12" s="132" t="s">
        <v>254</v>
      </c>
      <c r="G12" s="118"/>
      <c r="H12" s="131" t="s">
        <v>253</v>
      </c>
      <c r="I12" s="118"/>
      <c r="J12" s="118"/>
      <c r="K12" s="118"/>
    </row>
    <row r="13" spans="2:11" ht="33" customHeight="1" x14ac:dyDescent="0.25">
      <c r="B13" s="128" t="s">
        <v>252</v>
      </c>
      <c r="C13" s="127" t="s">
        <v>251</v>
      </c>
      <c r="D13" s="118"/>
      <c r="E13" s="118"/>
      <c r="F13" s="129" t="s">
        <v>250</v>
      </c>
      <c r="G13" s="118"/>
      <c r="H13" s="131" t="s">
        <v>249</v>
      </c>
      <c r="I13" s="118"/>
      <c r="J13" s="118"/>
      <c r="K13" s="118"/>
    </row>
    <row r="14" spans="2:11" ht="32.25" customHeight="1" x14ac:dyDescent="0.25">
      <c r="B14" s="128" t="s">
        <v>248</v>
      </c>
      <c r="C14" s="127" t="s">
        <v>247</v>
      </c>
      <c r="D14" s="118"/>
      <c r="E14" s="118"/>
      <c r="F14" s="129" t="s">
        <v>246</v>
      </c>
      <c r="G14" s="118"/>
      <c r="H14" s="118"/>
      <c r="I14" s="118"/>
      <c r="J14" s="118"/>
      <c r="K14" s="118"/>
    </row>
    <row r="15" spans="2:11" ht="32.25" customHeight="1" x14ac:dyDescent="0.25">
      <c r="B15" s="130" t="s">
        <v>245</v>
      </c>
      <c r="C15" s="127"/>
      <c r="D15" s="118"/>
      <c r="E15" s="118"/>
      <c r="F15" s="129" t="s">
        <v>244</v>
      </c>
      <c r="G15" s="118"/>
      <c r="H15" s="118"/>
      <c r="I15" s="118"/>
      <c r="J15" s="118"/>
      <c r="K15" s="118"/>
    </row>
    <row r="16" spans="2:11" x14ac:dyDescent="0.25">
      <c r="B16" s="128" t="s">
        <v>198</v>
      </c>
      <c r="C16" s="127"/>
      <c r="D16" s="118"/>
      <c r="E16" s="118"/>
      <c r="F16" s="118"/>
      <c r="G16" s="118"/>
      <c r="H16" s="118"/>
      <c r="I16" s="118"/>
      <c r="J16" s="118"/>
      <c r="K16" s="118"/>
    </row>
    <row r="17" spans="1:12" x14ac:dyDescent="0.25">
      <c r="B17" s="128" t="s">
        <v>243</v>
      </c>
      <c r="C17" s="127"/>
      <c r="D17" s="118"/>
      <c r="E17" s="118"/>
      <c r="F17" s="118"/>
      <c r="G17" s="118"/>
      <c r="H17" s="118"/>
      <c r="I17" s="118"/>
      <c r="J17" s="118"/>
      <c r="K17" s="118"/>
    </row>
    <row r="18" spans="1:12" x14ac:dyDescent="0.25">
      <c r="B18" s="128" t="s">
        <v>242</v>
      </c>
      <c r="C18" s="127"/>
      <c r="D18" s="118"/>
      <c r="E18" s="118"/>
      <c r="F18" s="118"/>
      <c r="G18" s="118"/>
      <c r="H18" s="118"/>
      <c r="I18" s="118"/>
      <c r="J18" s="118"/>
      <c r="K18" s="118"/>
    </row>
    <row r="19" spans="1:12" x14ac:dyDescent="0.25">
      <c r="B19" s="128" t="s">
        <v>241</v>
      </c>
      <c r="C19" s="127"/>
      <c r="D19" s="118"/>
      <c r="E19" s="118"/>
      <c r="F19" s="118"/>
      <c r="G19" s="118"/>
      <c r="H19" s="118"/>
      <c r="I19" s="118"/>
      <c r="J19" s="118"/>
      <c r="K19" s="118"/>
    </row>
    <row r="20" spans="1:12" ht="25.5" x14ac:dyDescent="0.25">
      <c r="B20" s="128" t="s">
        <v>240</v>
      </c>
      <c r="C20" s="127"/>
      <c r="D20" s="118"/>
      <c r="E20" s="118"/>
      <c r="F20" s="118"/>
      <c r="G20" s="118"/>
      <c r="H20" s="118"/>
      <c r="I20" s="118"/>
      <c r="J20" s="118"/>
      <c r="K20" s="118"/>
    </row>
    <row r="21" spans="1:12" x14ac:dyDescent="0.25">
      <c r="B21" s="128" t="s">
        <v>239</v>
      </c>
      <c r="C21" s="127"/>
      <c r="D21" s="118"/>
      <c r="E21" s="118"/>
      <c r="F21" s="118"/>
      <c r="G21" s="118"/>
      <c r="H21" s="118"/>
      <c r="I21" s="118"/>
      <c r="J21" s="118"/>
      <c r="K21" s="118"/>
    </row>
    <row r="22" spans="1:12" x14ac:dyDescent="0.25">
      <c r="B22" s="128" t="s">
        <v>238</v>
      </c>
      <c r="C22" s="127"/>
      <c r="D22" s="118"/>
      <c r="E22" s="118"/>
      <c r="F22" s="118"/>
      <c r="G22" s="118"/>
      <c r="H22" s="118"/>
      <c r="I22" s="118"/>
      <c r="J22" s="118"/>
      <c r="K22" s="118"/>
    </row>
    <row r="25" spans="1:12" hidden="1" x14ac:dyDescent="0.25">
      <c r="A25" s="118"/>
      <c r="B25" s="118"/>
      <c r="C25" s="118"/>
      <c r="D25" s="118"/>
      <c r="E25" s="118"/>
      <c r="F25" s="118"/>
      <c r="G25" s="125"/>
      <c r="H25" s="125">
        <v>1</v>
      </c>
      <c r="I25" s="125">
        <v>2</v>
      </c>
      <c r="J25" s="125">
        <v>3</v>
      </c>
      <c r="K25" s="125">
        <v>4</v>
      </c>
      <c r="L25" s="125">
        <v>5</v>
      </c>
    </row>
    <row r="26" spans="1:12" hidden="1" x14ac:dyDescent="0.25">
      <c r="A26" s="118">
        <v>1</v>
      </c>
      <c r="B26" s="118" t="s">
        <v>237</v>
      </c>
      <c r="C26" s="118"/>
      <c r="D26" s="118"/>
      <c r="E26" s="118"/>
      <c r="F26" s="118"/>
      <c r="G26" s="125">
        <v>1</v>
      </c>
      <c r="H26" s="125" t="s">
        <v>232</v>
      </c>
      <c r="I26" s="125" t="s">
        <v>232</v>
      </c>
      <c r="J26" s="125" t="s">
        <v>231</v>
      </c>
      <c r="K26" s="125" t="s">
        <v>230</v>
      </c>
      <c r="L26" s="126" t="s">
        <v>229</v>
      </c>
    </row>
    <row r="27" spans="1:12" hidden="1" x14ac:dyDescent="0.25">
      <c r="A27" s="118">
        <v>2</v>
      </c>
      <c r="B27" s="118" t="s">
        <v>236</v>
      </c>
      <c r="C27" s="118"/>
      <c r="D27" s="118"/>
      <c r="E27" s="118"/>
      <c r="F27" s="118"/>
      <c r="G27" s="125">
        <v>2</v>
      </c>
      <c r="H27" s="125" t="s">
        <v>232</v>
      </c>
      <c r="I27" s="125" t="s">
        <v>232</v>
      </c>
      <c r="J27" s="125" t="s">
        <v>231</v>
      </c>
      <c r="K27" s="125" t="s">
        <v>230</v>
      </c>
      <c r="L27" s="125" t="s">
        <v>229</v>
      </c>
    </row>
    <row r="28" spans="1:12" hidden="1" x14ac:dyDescent="0.25">
      <c r="A28" s="118">
        <v>3</v>
      </c>
      <c r="B28" s="118" t="s">
        <v>235</v>
      </c>
      <c r="C28" s="118"/>
      <c r="D28" s="118"/>
      <c r="E28" s="118"/>
      <c r="F28" s="118"/>
      <c r="G28" s="125">
        <v>3</v>
      </c>
      <c r="H28" s="125" t="s">
        <v>232</v>
      </c>
      <c r="I28" s="125" t="s">
        <v>231</v>
      </c>
      <c r="J28" s="125" t="s">
        <v>230</v>
      </c>
      <c r="K28" s="125" t="s">
        <v>229</v>
      </c>
      <c r="L28" s="125" t="s">
        <v>229</v>
      </c>
    </row>
    <row r="29" spans="1:12" hidden="1" x14ac:dyDescent="0.25">
      <c r="A29" s="118">
        <v>4</v>
      </c>
      <c r="B29" s="118" t="s">
        <v>234</v>
      </c>
      <c r="C29" s="118"/>
      <c r="D29" s="118"/>
      <c r="E29" s="118"/>
      <c r="F29" s="118"/>
      <c r="G29" s="125">
        <v>4</v>
      </c>
      <c r="H29" s="125" t="s">
        <v>231</v>
      </c>
      <c r="I29" s="125" t="s">
        <v>230</v>
      </c>
      <c r="J29" s="125" t="s">
        <v>230</v>
      </c>
      <c r="K29" s="125" t="s">
        <v>229</v>
      </c>
      <c r="L29" s="125" t="s">
        <v>229</v>
      </c>
    </row>
    <row r="30" spans="1:12" hidden="1" x14ac:dyDescent="0.25">
      <c r="A30" s="118">
        <v>5</v>
      </c>
      <c r="B30" s="118" t="s">
        <v>233</v>
      </c>
      <c r="C30" s="118"/>
      <c r="D30" s="118"/>
      <c r="E30" s="118"/>
      <c r="F30" s="118"/>
      <c r="G30" s="125">
        <v>5</v>
      </c>
      <c r="H30" s="125" t="s">
        <v>230</v>
      </c>
      <c r="I30" s="125" t="s">
        <v>230</v>
      </c>
      <c r="J30" s="125" t="s">
        <v>229</v>
      </c>
      <c r="K30" s="125" t="s">
        <v>229</v>
      </c>
      <c r="L30" s="125" t="s">
        <v>229</v>
      </c>
    </row>
    <row r="31" spans="1:12" hidden="1" x14ac:dyDescent="0.25"/>
    <row r="32" spans="1:1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sheetData>
  <mergeCells count="1">
    <mergeCell ref="H4:I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D52"/>
  <sheetViews>
    <sheetView workbookViewId="0">
      <selection activeCell="A55" sqref="A55"/>
    </sheetView>
  </sheetViews>
  <sheetFormatPr baseColWidth="10" defaultRowHeight="12.75" x14ac:dyDescent="0.2"/>
  <cols>
    <col min="1" max="1" width="32.85546875" style="175" customWidth="1"/>
    <col min="2" max="16384" width="11.42578125" style="5"/>
  </cols>
  <sheetData>
    <row r="3" spans="1:1" x14ac:dyDescent="0.2">
      <c r="A3" s="6" t="s">
        <v>13</v>
      </c>
    </row>
    <row r="4" spans="1:1" x14ac:dyDescent="0.2">
      <c r="A4" s="6" t="s">
        <v>14</v>
      </c>
    </row>
    <row r="5" spans="1:1" x14ac:dyDescent="0.2">
      <c r="A5" s="6" t="s">
        <v>15</v>
      </c>
    </row>
    <row r="6" spans="1:1" x14ac:dyDescent="0.2">
      <c r="A6" s="6" t="s">
        <v>9</v>
      </c>
    </row>
    <row r="7" spans="1:1" x14ac:dyDescent="0.2">
      <c r="A7" s="6" t="s">
        <v>8</v>
      </c>
    </row>
    <row r="8" spans="1:1" x14ac:dyDescent="0.2">
      <c r="A8" s="6" t="s">
        <v>18</v>
      </c>
    </row>
    <row r="9" spans="1:1" x14ac:dyDescent="0.2">
      <c r="A9" s="6" t="s">
        <v>19</v>
      </c>
    </row>
    <row r="10" spans="1:1" x14ac:dyDescent="0.2">
      <c r="A10" s="6" t="s">
        <v>21</v>
      </c>
    </row>
    <row r="11" spans="1:1" x14ac:dyDescent="0.2">
      <c r="A11" s="6" t="s">
        <v>22</v>
      </c>
    </row>
    <row r="12" spans="1:1" x14ac:dyDescent="0.2">
      <c r="A12" s="6" t="s">
        <v>24</v>
      </c>
    </row>
    <row r="13" spans="1:1" x14ac:dyDescent="0.2">
      <c r="A13" s="6" t="s">
        <v>25</v>
      </c>
    </row>
    <row r="14" spans="1:1" x14ac:dyDescent="0.2">
      <c r="A14" s="6" t="s">
        <v>26</v>
      </c>
    </row>
    <row r="16" spans="1:1" x14ac:dyDescent="0.2">
      <c r="A16" s="6" t="s">
        <v>29</v>
      </c>
    </row>
    <row r="17" spans="1:2" x14ac:dyDescent="0.2">
      <c r="A17" s="6" t="s">
        <v>30</v>
      </c>
    </row>
    <row r="18" spans="1:2" x14ac:dyDescent="0.2">
      <c r="A18" s="6" t="s">
        <v>31</v>
      </c>
    </row>
    <row r="20" spans="1:2" x14ac:dyDescent="0.2">
      <c r="A20" s="6" t="s">
        <v>33</v>
      </c>
    </row>
    <row r="21" spans="1:2" x14ac:dyDescent="0.2">
      <c r="A21" s="6" t="s">
        <v>34</v>
      </c>
    </row>
    <row r="23" spans="1:2" x14ac:dyDescent="0.2">
      <c r="A23" s="175" t="s">
        <v>194</v>
      </c>
    </row>
    <row r="24" spans="1:2" x14ac:dyDescent="0.2">
      <c r="A24" s="175" t="s">
        <v>195</v>
      </c>
    </row>
    <row r="29" spans="1:2" x14ac:dyDescent="0.2">
      <c r="A29" s="175">
        <v>1</v>
      </c>
    </row>
    <row r="30" spans="1:2" x14ac:dyDescent="0.2">
      <c r="A30" s="175">
        <v>2</v>
      </c>
    </row>
    <row r="31" spans="1:2" x14ac:dyDescent="0.2">
      <c r="A31" s="175">
        <v>3</v>
      </c>
      <c r="B31" s="5">
        <v>3</v>
      </c>
    </row>
    <row r="32" spans="1:2" x14ac:dyDescent="0.2">
      <c r="A32" s="175">
        <v>4</v>
      </c>
      <c r="B32" s="5">
        <v>4</v>
      </c>
    </row>
    <row r="33" spans="1:4" x14ac:dyDescent="0.2">
      <c r="A33" s="175">
        <v>5</v>
      </c>
      <c r="B33" s="5">
        <v>5</v>
      </c>
      <c r="C33" s="5">
        <f>25*4</f>
        <v>100</v>
      </c>
      <c r="D33" s="5">
        <f>5*4</f>
        <v>20</v>
      </c>
    </row>
    <row r="34" spans="1:4" x14ac:dyDescent="0.2">
      <c r="C34" s="5">
        <f>12*4</f>
        <v>48</v>
      </c>
      <c r="D34" s="5">
        <f>4*4</f>
        <v>16</v>
      </c>
    </row>
    <row r="35" spans="1:4" x14ac:dyDescent="0.2">
      <c r="C35" s="5">
        <f>6*4</f>
        <v>24</v>
      </c>
      <c r="D35" s="5">
        <f>3*4</f>
        <v>12</v>
      </c>
    </row>
    <row r="38" spans="1:4" x14ac:dyDescent="0.2">
      <c r="A38" s="175">
        <v>0</v>
      </c>
      <c r="B38" s="5">
        <v>15</v>
      </c>
      <c r="C38" s="5">
        <v>0</v>
      </c>
    </row>
    <row r="39" spans="1:4" x14ac:dyDescent="0.2">
      <c r="A39" s="175">
        <v>10</v>
      </c>
      <c r="B39" s="5">
        <v>0</v>
      </c>
      <c r="C39" s="5">
        <v>5</v>
      </c>
    </row>
    <row r="40" spans="1:4" x14ac:dyDescent="0.2">
      <c r="A40" s="175">
        <v>15</v>
      </c>
      <c r="C40" s="5">
        <v>10</v>
      </c>
    </row>
    <row r="42" spans="1:4" x14ac:dyDescent="0.2">
      <c r="A42" s="176" t="s">
        <v>202</v>
      </c>
    </row>
    <row r="43" spans="1:4" x14ac:dyDescent="0.2">
      <c r="A43" s="176" t="s">
        <v>203</v>
      </c>
    </row>
    <row r="44" spans="1:4" x14ac:dyDescent="0.2">
      <c r="A44" s="176" t="s">
        <v>204</v>
      </c>
    </row>
    <row r="46" spans="1:4" x14ac:dyDescent="0.2">
      <c r="A46" s="175" t="s">
        <v>205</v>
      </c>
      <c r="B46" s="5" t="s">
        <v>205</v>
      </c>
    </row>
    <row r="47" spans="1:4" x14ac:dyDescent="0.2">
      <c r="A47" s="175" t="s">
        <v>206</v>
      </c>
      <c r="B47" s="5" t="s">
        <v>207</v>
      </c>
    </row>
    <row r="48" spans="1:4" x14ac:dyDescent="0.2">
      <c r="B48" s="5" t="s">
        <v>206</v>
      </c>
    </row>
    <row r="50" spans="1:1" x14ac:dyDescent="0.2">
      <c r="A50" s="175" t="s">
        <v>29</v>
      </c>
    </row>
    <row r="51" spans="1:1" x14ac:dyDescent="0.2">
      <c r="A51" s="175" t="s">
        <v>31</v>
      </c>
    </row>
    <row r="52" spans="1:1" x14ac:dyDescent="0.2">
      <c r="A52" s="175"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81"/>
  <sheetViews>
    <sheetView showGridLines="0" tabSelected="1" topLeftCell="AH1" zoomScale="70" zoomScaleNormal="70" workbookViewId="0">
      <selection activeCell="AQ4" sqref="AQ4:AT5"/>
    </sheetView>
  </sheetViews>
  <sheetFormatPr baseColWidth="10" defaultRowHeight="16.5" x14ac:dyDescent="0.3"/>
  <cols>
    <col min="1" max="1" width="6.42578125" style="2" customWidth="1"/>
    <col min="2" max="4" width="41.42578125" style="116" customWidth="1"/>
    <col min="5" max="5" width="19.85546875" style="2" customWidth="1"/>
    <col min="6" max="6" width="28.7109375" style="2" customWidth="1"/>
    <col min="7" max="7" width="26.5703125" style="2" customWidth="1"/>
    <col min="8" max="8" width="32.42578125" style="1" customWidth="1"/>
    <col min="9" max="9" width="19" style="3" customWidth="1"/>
    <col min="10" max="10" width="25" style="3" customWidth="1"/>
    <col min="11" max="11" width="29.85546875" style="3" customWidth="1"/>
    <col min="12" max="12" width="25" style="3" customWidth="1"/>
    <col min="13" max="13" width="17.85546875" style="1" customWidth="1"/>
    <col min="14" max="14" width="20" style="1" customWidth="1"/>
    <col min="15" max="15" width="6.28515625" style="1" bestFit="1" customWidth="1"/>
    <col min="16" max="16" width="26.85546875" style="1" customWidth="1"/>
    <col min="17" max="17" width="3.5703125" style="1" hidden="1" customWidth="1"/>
    <col min="18" max="18" width="17.5703125" style="1" customWidth="1"/>
    <col min="19" max="19" width="6.28515625" style="1" bestFit="1" customWidth="1"/>
    <col min="20" max="20" width="16" style="1" customWidth="1"/>
    <col min="21" max="21" width="5.85546875" style="1" customWidth="1"/>
    <col min="22" max="22" width="31" style="1" customWidth="1"/>
    <col min="23" max="23" width="15.140625" style="1" bestFit="1" customWidth="1"/>
    <col min="24" max="24" width="6.85546875" style="1" customWidth="1"/>
    <col min="25" max="25" width="5" style="1" customWidth="1"/>
    <col min="26" max="26" width="5.5703125" style="1" customWidth="1"/>
    <col min="27" max="27" width="7.140625" style="1" customWidth="1"/>
    <col min="28" max="28" width="6.7109375" style="1" customWidth="1"/>
    <col min="29" max="29" width="7.5703125" style="1" customWidth="1"/>
    <col min="30" max="30" width="38.28515625" style="1" hidden="1" customWidth="1"/>
    <col min="31" max="31" width="8.7109375" style="1" customWidth="1"/>
    <col min="32" max="32" width="10.42578125" style="1" customWidth="1"/>
    <col min="33" max="33" width="9.28515625" style="1" customWidth="1"/>
    <col min="34" max="34" width="9.140625" style="1" customWidth="1"/>
    <col min="35" max="35" width="8.42578125" style="1" customWidth="1"/>
    <col min="36" max="36" width="7.28515625" style="1" customWidth="1"/>
    <col min="37" max="37" width="23" style="1" customWidth="1"/>
    <col min="38" max="38" width="18.85546875" style="1" customWidth="1"/>
    <col min="39" max="39" width="22.140625" style="1" customWidth="1"/>
    <col min="40" max="40" width="33.42578125" style="1" customWidth="1"/>
    <col min="41" max="41" width="18.5703125" style="1" customWidth="1"/>
    <col min="42" max="42" width="21" style="1" customWidth="1"/>
    <col min="43" max="43" width="23" style="1" customWidth="1"/>
    <col min="44" max="44" width="29.42578125" style="1" customWidth="1"/>
    <col min="45" max="45" width="18.85546875" style="1" customWidth="1"/>
    <col min="46" max="46" width="23" style="1" customWidth="1"/>
    <col min="47" max="47" width="29.140625" style="1" customWidth="1"/>
    <col min="48" max="48" width="29.5703125" style="1" customWidth="1"/>
    <col min="49" max="49" width="20.5703125" style="1" customWidth="1"/>
    <col min="50" max="51" width="23" style="1" customWidth="1"/>
    <col min="52" max="52" width="20.5703125" style="1" customWidth="1"/>
    <col min="53" max="53" width="23" style="1" customWidth="1"/>
    <col min="54" max="54" width="18.85546875" style="1" customWidth="1"/>
    <col min="55" max="55" width="18.5703125" style="1" customWidth="1"/>
    <col min="56" max="56" width="21" style="1" customWidth="1"/>
    <col min="57" max="16384" width="11.42578125" style="1"/>
  </cols>
  <sheetData>
    <row r="1" spans="1:71" customFormat="1" ht="34.5" customHeight="1" thickBot="1" x14ac:dyDescent="0.3">
      <c r="A1" s="369" t="s">
        <v>228</v>
      </c>
      <c r="B1" s="370"/>
      <c r="C1" s="370"/>
      <c r="D1" s="370"/>
      <c r="E1" s="370"/>
      <c r="F1" s="371"/>
      <c r="G1" s="317" t="s">
        <v>1101</v>
      </c>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9"/>
      <c r="AR1" s="441"/>
      <c r="AS1" s="442"/>
      <c r="AT1" s="442"/>
      <c r="AU1" s="442"/>
      <c r="AV1" s="442"/>
      <c r="AW1" s="442"/>
      <c r="AX1" s="442"/>
      <c r="AY1" s="443"/>
    </row>
    <row r="2" spans="1:71" customFormat="1" ht="39" customHeight="1" thickBot="1" x14ac:dyDescent="0.3">
      <c r="A2" s="372"/>
      <c r="B2" s="373"/>
      <c r="C2" s="373"/>
      <c r="D2" s="373"/>
      <c r="E2" s="373"/>
      <c r="F2" s="374"/>
      <c r="G2" s="329" t="s">
        <v>377</v>
      </c>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7"/>
      <c r="AR2" s="444"/>
      <c r="AS2" s="445"/>
      <c r="AT2" s="445"/>
      <c r="AU2" s="445"/>
      <c r="AV2" s="445"/>
      <c r="AW2" s="445"/>
      <c r="AX2" s="445"/>
      <c r="AY2" s="446"/>
    </row>
    <row r="3" spans="1:71" customFormat="1" ht="26.25" customHeight="1" thickBot="1" x14ac:dyDescent="0.3">
      <c r="A3" s="332" t="s">
        <v>1098</v>
      </c>
      <c r="B3" s="334"/>
      <c r="C3" s="335"/>
      <c r="D3" s="335"/>
      <c r="E3" s="335"/>
      <c r="F3" s="177"/>
      <c r="G3" s="336" t="s">
        <v>1099</v>
      </c>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9"/>
      <c r="AR3" s="447" t="s">
        <v>376</v>
      </c>
      <c r="AS3" s="448"/>
      <c r="AT3" s="448"/>
      <c r="AU3" s="448"/>
      <c r="AV3" s="448"/>
      <c r="AW3" s="448"/>
      <c r="AX3" s="448"/>
      <c r="AY3" s="449"/>
    </row>
    <row r="4" spans="1:71" ht="18" customHeight="1" thickBot="1" x14ac:dyDescent="0.35">
      <c r="A4" s="450" t="s">
        <v>227</v>
      </c>
      <c r="B4" s="451"/>
      <c r="C4" s="451"/>
      <c r="D4" s="451"/>
      <c r="E4" s="451"/>
      <c r="F4" s="451"/>
      <c r="G4" s="451"/>
      <c r="H4" s="451"/>
      <c r="I4" s="451"/>
      <c r="J4" s="451"/>
      <c r="K4" s="451"/>
      <c r="L4" s="451"/>
      <c r="M4" s="452"/>
      <c r="N4" s="453" t="s">
        <v>306</v>
      </c>
      <c r="O4" s="454"/>
      <c r="P4" s="454"/>
      <c r="Q4" s="454"/>
      <c r="R4" s="454"/>
      <c r="S4" s="454"/>
      <c r="T4" s="455"/>
      <c r="U4" s="453" t="s">
        <v>305</v>
      </c>
      <c r="V4" s="454"/>
      <c r="W4" s="454"/>
      <c r="X4" s="454"/>
      <c r="Y4" s="454"/>
      <c r="Z4" s="454"/>
      <c r="AA4" s="454"/>
      <c r="AB4" s="454"/>
      <c r="AC4" s="455"/>
      <c r="AD4" s="453" t="s">
        <v>304</v>
      </c>
      <c r="AE4" s="454"/>
      <c r="AF4" s="454"/>
      <c r="AG4" s="454"/>
      <c r="AH4" s="454"/>
      <c r="AI4" s="454"/>
      <c r="AJ4" s="455"/>
      <c r="AK4" s="453" t="s">
        <v>226</v>
      </c>
      <c r="AL4" s="454"/>
      <c r="AM4" s="454"/>
      <c r="AN4" s="455"/>
      <c r="AO4" s="456" t="s">
        <v>225</v>
      </c>
      <c r="AP4" s="457"/>
      <c r="AQ4" s="409" t="s">
        <v>224</v>
      </c>
      <c r="AR4" s="410"/>
      <c r="AS4" s="410"/>
      <c r="AT4" s="411"/>
      <c r="AU4" s="460" t="s">
        <v>223</v>
      </c>
      <c r="AV4" s="461"/>
      <c r="AW4" s="464" t="s">
        <v>222</v>
      </c>
      <c r="AX4" s="465"/>
      <c r="AY4" s="466"/>
      <c r="AZ4" s="4"/>
      <c r="BA4" s="4"/>
      <c r="BB4" s="4"/>
      <c r="BC4" s="4"/>
      <c r="BD4" s="4"/>
      <c r="BE4" s="4"/>
      <c r="BF4" s="4"/>
      <c r="BG4" s="4"/>
      <c r="BH4" s="4"/>
    </row>
    <row r="5" spans="1:71" ht="51" customHeight="1" thickBot="1" x14ac:dyDescent="0.35">
      <c r="A5" s="415" t="s">
        <v>310</v>
      </c>
      <c r="B5" s="419" t="s">
        <v>199</v>
      </c>
      <c r="C5" s="355" t="s">
        <v>518</v>
      </c>
      <c r="D5" s="355" t="s">
        <v>517</v>
      </c>
      <c r="E5" s="419" t="s">
        <v>303</v>
      </c>
      <c r="F5" s="355" t="s">
        <v>495</v>
      </c>
      <c r="G5" s="352" t="s">
        <v>302</v>
      </c>
      <c r="H5" s="355" t="s">
        <v>221</v>
      </c>
      <c r="I5" s="419" t="s">
        <v>295</v>
      </c>
      <c r="J5" s="355" t="s">
        <v>516</v>
      </c>
      <c r="K5" s="355" t="s">
        <v>200</v>
      </c>
      <c r="L5" s="355" t="s">
        <v>515</v>
      </c>
      <c r="M5" s="419" t="s">
        <v>301</v>
      </c>
      <c r="N5" s="419" t="s">
        <v>300</v>
      </c>
      <c r="O5" s="419" t="s">
        <v>4</v>
      </c>
      <c r="P5" s="419" t="s">
        <v>299</v>
      </c>
      <c r="Q5" s="470" t="s">
        <v>81</v>
      </c>
      <c r="R5" s="419" t="s">
        <v>298</v>
      </c>
      <c r="S5" s="419" t="s">
        <v>4</v>
      </c>
      <c r="T5" s="419" t="s">
        <v>297</v>
      </c>
      <c r="U5" s="415" t="s">
        <v>10</v>
      </c>
      <c r="V5" s="417" t="s">
        <v>296</v>
      </c>
      <c r="W5" s="417" t="s">
        <v>11</v>
      </c>
      <c r="X5" s="434" t="s">
        <v>7</v>
      </c>
      <c r="Y5" s="435"/>
      <c r="Z5" s="435"/>
      <c r="AA5" s="435"/>
      <c r="AB5" s="435"/>
      <c r="AC5" s="436"/>
      <c r="AD5" s="437" t="s">
        <v>124</v>
      </c>
      <c r="AE5" s="439" t="s">
        <v>36</v>
      </c>
      <c r="AF5" s="439" t="s">
        <v>4</v>
      </c>
      <c r="AG5" s="439" t="s">
        <v>37</v>
      </c>
      <c r="AH5" s="439" t="s">
        <v>4</v>
      </c>
      <c r="AI5" s="439" t="s">
        <v>39</v>
      </c>
      <c r="AJ5" s="415" t="s">
        <v>28</v>
      </c>
      <c r="AK5" s="429" t="s">
        <v>218</v>
      </c>
      <c r="AL5" s="429" t="s">
        <v>217</v>
      </c>
      <c r="AM5" s="429" t="s">
        <v>307</v>
      </c>
      <c r="AN5" s="355" t="s">
        <v>219</v>
      </c>
      <c r="AO5" s="458"/>
      <c r="AP5" s="459"/>
      <c r="AQ5" s="412"/>
      <c r="AR5" s="413"/>
      <c r="AS5" s="413"/>
      <c r="AT5" s="414"/>
      <c r="AU5" s="462"/>
      <c r="AV5" s="463"/>
      <c r="AW5" s="467"/>
      <c r="AX5" s="468"/>
      <c r="AY5" s="469"/>
      <c r="AZ5" s="4"/>
      <c r="BA5" s="4"/>
      <c r="BB5" s="4"/>
      <c r="BC5" s="4"/>
      <c r="BD5" s="4"/>
      <c r="BE5" s="4"/>
      <c r="BF5" s="4"/>
      <c r="BG5" s="4"/>
      <c r="BH5" s="4"/>
    </row>
    <row r="6" spans="1:71" ht="28.5" customHeight="1" thickBot="1" x14ac:dyDescent="0.35">
      <c r="A6" s="416"/>
      <c r="B6" s="420"/>
      <c r="C6" s="356"/>
      <c r="D6" s="356"/>
      <c r="E6" s="420"/>
      <c r="F6" s="356"/>
      <c r="G6" s="353"/>
      <c r="H6" s="356"/>
      <c r="I6" s="420"/>
      <c r="J6" s="356"/>
      <c r="K6" s="356"/>
      <c r="L6" s="356"/>
      <c r="M6" s="420"/>
      <c r="N6" s="420"/>
      <c r="O6" s="420"/>
      <c r="P6" s="420"/>
      <c r="Q6" s="471"/>
      <c r="R6" s="420"/>
      <c r="S6" s="420"/>
      <c r="T6" s="420"/>
      <c r="U6" s="416"/>
      <c r="V6" s="418"/>
      <c r="W6" s="418"/>
      <c r="X6" s="431" t="s">
        <v>12</v>
      </c>
      <c r="Y6" s="431" t="s">
        <v>16</v>
      </c>
      <c r="Z6" s="431" t="s">
        <v>27</v>
      </c>
      <c r="AA6" s="431" t="s">
        <v>17</v>
      </c>
      <c r="AB6" s="431" t="s">
        <v>20</v>
      </c>
      <c r="AC6" s="433" t="s">
        <v>23</v>
      </c>
      <c r="AD6" s="438"/>
      <c r="AE6" s="440"/>
      <c r="AF6" s="440"/>
      <c r="AG6" s="440"/>
      <c r="AH6" s="440"/>
      <c r="AI6" s="440"/>
      <c r="AJ6" s="416"/>
      <c r="AK6" s="430"/>
      <c r="AL6" s="430"/>
      <c r="AM6" s="430"/>
      <c r="AN6" s="356"/>
      <c r="AO6" s="392" t="s">
        <v>218</v>
      </c>
      <c r="AP6" s="392" t="s">
        <v>217</v>
      </c>
      <c r="AQ6" s="355" t="s">
        <v>215</v>
      </c>
      <c r="AR6" s="355" t="s">
        <v>308</v>
      </c>
      <c r="AS6" s="355" t="s">
        <v>309</v>
      </c>
      <c r="AT6" s="355" t="s">
        <v>213</v>
      </c>
      <c r="AU6" s="396" t="s">
        <v>216</v>
      </c>
      <c r="AV6" s="396" t="s">
        <v>213</v>
      </c>
      <c r="AW6" s="427" t="s">
        <v>215</v>
      </c>
      <c r="AX6" s="427" t="s">
        <v>214</v>
      </c>
      <c r="AY6" s="427" t="s">
        <v>213</v>
      </c>
      <c r="AZ6" s="4"/>
      <c r="BA6" s="4"/>
      <c r="BB6" s="4"/>
      <c r="BC6" s="4"/>
      <c r="BD6" s="4"/>
      <c r="BE6" s="4"/>
      <c r="BF6" s="4"/>
      <c r="BG6" s="4"/>
      <c r="BH6" s="4"/>
    </row>
    <row r="7" spans="1:71" ht="21.75" customHeight="1" thickBot="1" x14ac:dyDescent="0.35">
      <c r="A7" s="416"/>
      <c r="B7" s="420"/>
      <c r="C7" s="356"/>
      <c r="D7" s="356"/>
      <c r="E7" s="420"/>
      <c r="F7" s="356"/>
      <c r="G7" s="353"/>
      <c r="H7" s="357"/>
      <c r="I7" s="420"/>
      <c r="J7" s="356"/>
      <c r="K7" s="357"/>
      <c r="L7" s="356"/>
      <c r="M7" s="420"/>
      <c r="N7" s="420"/>
      <c r="O7" s="420"/>
      <c r="P7" s="420"/>
      <c r="Q7" s="471"/>
      <c r="R7" s="420"/>
      <c r="S7" s="420"/>
      <c r="T7" s="420"/>
      <c r="U7" s="416"/>
      <c r="V7" s="418"/>
      <c r="W7" s="418"/>
      <c r="X7" s="432"/>
      <c r="Y7" s="432"/>
      <c r="Z7" s="432"/>
      <c r="AA7" s="432"/>
      <c r="AB7" s="432"/>
      <c r="AC7" s="433"/>
      <c r="AD7" s="438"/>
      <c r="AE7" s="440"/>
      <c r="AF7" s="440"/>
      <c r="AG7" s="440"/>
      <c r="AH7" s="440"/>
      <c r="AI7" s="440"/>
      <c r="AJ7" s="416"/>
      <c r="AK7" s="430"/>
      <c r="AL7" s="430"/>
      <c r="AM7" s="430"/>
      <c r="AN7" s="355" t="s">
        <v>210</v>
      </c>
      <c r="AO7" s="393"/>
      <c r="AP7" s="393"/>
      <c r="AQ7" s="356"/>
      <c r="AR7" s="356"/>
      <c r="AS7" s="356"/>
      <c r="AT7" s="356"/>
      <c r="AU7" s="397"/>
      <c r="AV7" s="397"/>
      <c r="AW7" s="428"/>
      <c r="AX7" s="428"/>
      <c r="AY7" s="428"/>
      <c r="AZ7" s="4"/>
      <c r="BA7" s="4"/>
      <c r="BB7" s="4"/>
      <c r="BC7" s="4"/>
      <c r="BD7" s="4"/>
      <c r="BE7" s="4"/>
      <c r="BF7" s="4"/>
      <c r="BG7" s="4"/>
      <c r="BH7" s="4"/>
      <c r="BI7" s="4"/>
      <c r="BJ7" s="4"/>
      <c r="BK7" s="4"/>
      <c r="BL7" s="4"/>
      <c r="BM7" s="4"/>
      <c r="BN7" s="4"/>
      <c r="BO7" s="4"/>
      <c r="BP7" s="4"/>
      <c r="BQ7" s="4"/>
      <c r="BR7" s="4"/>
      <c r="BS7" s="4"/>
    </row>
    <row r="8" spans="1:71" s="20" customFormat="1" ht="62.25" customHeight="1" thickBot="1" x14ac:dyDescent="0.3">
      <c r="A8" s="416"/>
      <c r="B8" s="420"/>
      <c r="C8" s="356"/>
      <c r="D8" s="356"/>
      <c r="E8" s="420"/>
      <c r="F8" s="356"/>
      <c r="G8" s="354"/>
      <c r="H8" s="122" t="s">
        <v>212</v>
      </c>
      <c r="I8" s="420"/>
      <c r="J8" s="356"/>
      <c r="K8" s="190" t="s">
        <v>211</v>
      </c>
      <c r="L8" s="356"/>
      <c r="M8" s="420"/>
      <c r="N8" s="420"/>
      <c r="O8" s="420"/>
      <c r="P8" s="420"/>
      <c r="Q8" s="471"/>
      <c r="R8" s="420"/>
      <c r="S8" s="420"/>
      <c r="T8" s="420"/>
      <c r="U8" s="416"/>
      <c r="V8" s="418"/>
      <c r="W8" s="418"/>
      <c r="X8" s="432"/>
      <c r="Y8" s="432"/>
      <c r="Z8" s="432"/>
      <c r="AA8" s="432"/>
      <c r="AB8" s="432"/>
      <c r="AC8" s="433"/>
      <c r="AD8" s="438"/>
      <c r="AE8" s="440"/>
      <c r="AF8" s="440"/>
      <c r="AG8" s="440"/>
      <c r="AH8" s="440"/>
      <c r="AI8" s="440"/>
      <c r="AJ8" s="416"/>
      <c r="AK8" s="430"/>
      <c r="AL8" s="430"/>
      <c r="AM8" s="430"/>
      <c r="AN8" s="356"/>
      <c r="AO8" s="394"/>
      <c r="AP8" s="393"/>
      <c r="AQ8" s="122" t="s">
        <v>209</v>
      </c>
      <c r="AR8" s="395"/>
      <c r="AS8" s="395"/>
      <c r="AT8" s="395"/>
      <c r="AU8" s="397"/>
      <c r="AV8" s="397"/>
      <c r="AW8" s="428"/>
      <c r="AX8" s="428"/>
      <c r="AY8" s="428"/>
    </row>
    <row r="9" spans="1:71" s="152" customFormat="1" ht="48.75" customHeight="1" x14ac:dyDescent="0.25">
      <c r="A9" s="375">
        <v>1</v>
      </c>
      <c r="B9" s="407"/>
      <c r="C9" s="358"/>
      <c r="D9" s="358"/>
      <c r="E9" s="346"/>
      <c r="F9" s="178"/>
      <c r="G9" s="272"/>
      <c r="H9" s="368"/>
      <c r="I9" s="401"/>
      <c r="J9" s="368"/>
      <c r="K9" s="184"/>
      <c r="L9" s="364"/>
      <c r="M9" s="404"/>
      <c r="N9" s="343" t="str">
        <f>IF(M9&lt;=0,"",IF(M9&lt;=2,"Muy Baja",IF(M9&lt;=24,"Baja",IF(M9&lt;=500,"Media",IF(M9&lt;=5000,"Alta","Muy Alta")))))</f>
        <v/>
      </c>
      <c r="O9" s="383" t="str">
        <f>IF(N9="","",IF(N9="Muy Baja",0.2,IF(N9="Baja",0.4,IF(N9="Media",0.6,IF(N9="Alta",0.8,IF(N9="Muy Alta",1,))))))</f>
        <v/>
      </c>
      <c r="P9" s="380"/>
      <c r="Q9" s="383">
        <f>IF(NOT(ISERROR(MATCH(P9,'Tabla Impacto'!$B$221:$B$223,0))),'Tabla Impacto'!$F$223&amp;"Por favor no seleccionar los criterios de impacto(Afectación Económica o presupuestal y Pérdida Reputacional)",P9)</f>
        <v>0</v>
      </c>
      <c r="R9" s="343" t="str">
        <f>IF(OR(Q9='Tabla Impacto'!$C$11,Q9='Tabla Impacto'!$D$11),"Leve",IF(OR(Q9='Tabla Impacto'!$C$12,Q9='Tabla Impacto'!$D$12),"Menor",IF(OR(Q9='Tabla Impacto'!$C$13,Q9='Tabla Impacto'!$D$13),"Moderado",IF(OR(Q9='Tabla Impacto'!$C$14,Q9='Tabla Impacto'!$D$14),"Mayor",IF(OR(Q9='Tabla Impacto'!$C$15,Q9='Tabla Impacto'!$D$15),"Catastrófico","")))))</f>
        <v/>
      </c>
      <c r="S9" s="383" t="str">
        <f>IF(R9="","",IF(R9="Leve",0.2,IF(R9="Menor",0.4,IF(R9="Moderado",0.6,IF(R9="Mayor",0.8,IF(R9="Catastrófico",1,))))))</f>
        <v/>
      </c>
      <c r="T9" s="398" t="str">
        <f>IF(OR(AND(N9="Muy Baja",R9="Leve"),AND(N9="Muy Baja",R9="Menor"),AND(N9="Baja",R9="Leve")),"Bajo",IF(OR(AND(N9="Muy baja",R9="Moderado"),AND(N9="Baja",R9="Menor"),AND(N9="Baja",R9="Moderado"),AND(N9="Media",R9="Leve"),AND(N9="Media",R9="Menor"),AND(N9="Media",R9="Moderado"),AND(N9="Alta",R9="Leve"),AND(N9="Alta",R9="Menor")),"Moderado",IF(OR(AND(N9="Muy Baja",R9="Mayor"),AND(N9="Baja",R9="Mayor"),AND(N9="Media",R9="Mayor"),AND(N9="Alta",R9="Moderado"),AND(N9="Alta",R9="Mayor"),AND(N9="Muy Alta",R9="Leve"),AND(N9="Muy Alta",R9="Menor"),AND(N9="Muy Alta",R9="Moderado"),AND(N9="Muy Alta",R9="Mayor")),"Alto",IF(OR(AND(N9="Muy Baja",R9="Catastrófico"),AND(N9="Baja",R9="Catastrófico"),AND(N9="Media",R9="Catastrófico"),AND(N9="Alta",R9="Catastrófico"),AND(N9="Muy Alta",R9="Catastrófico")),"Extremo",""))))</f>
        <v/>
      </c>
      <c r="U9" s="155">
        <v>1</v>
      </c>
      <c r="V9" s="279"/>
      <c r="W9" s="156" t="str">
        <f>IF(OR(X9="Preventivo",X9="Detectivo"),"Probabilidad",IF(X9="Correctivo","Impacto",""))</f>
        <v/>
      </c>
      <c r="X9" s="157"/>
      <c r="Y9" s="157"/>
      <c r="Z9" s="158" t="str">
        <f>IF(AND(X9="Preventivo",Y9="Automático"),"50%",IF(AND(X9="Preventivo",Y9="Manual"),"40%",IF(AND(X9="Detectivo",Y9="Automático"),"40%",IF(AND(X9="Detectivo",Y9="Manual"),"30%",IF(AND(X9="Correctivo",Y9="Automático"),"35%",IF(AND(X9="Correctivo",Y9="Manual"),"25%",""))))))</f>
        <v/>
      </c>
      <c r="AA9" s="157"/>
      <c r="AB9" s="157"/>
      <c r="AC9" s="157"/>
      <c r="AD9" s="159" t="str">
        <f>IFERROR(IF(W9="Probabilidad",(O9-(+O9*Z9)),IF(W9="Impacto",O9,"")),"")</f>
        <v/>
      </c>
      <c r="AE9" s="160" t="str">
        <f>IFERROR(IF(AD9="","",IF(AD9&lt;=0.2,"Muy Baja",IF(AD9&lt;=0.4,"Baja",IF(AD9&lt;=0.6,"Media",IF(AD9&lt;=0.8,"Alta","Muy Alta"))))),"")</f>
        <v/>
      </c>
      <c r="AF9" s="158" t="str">
        <f>+AD9</f>
        <v/>
      </c>
      <c r="AG9" s="160" t="str">
        <f>IFERROR(IF(AH9="","",IF(AH9&lt;=0.2,"Leve",IF(AH9&lt;=0.4,"Menor",IF(AH9&lt;=0.6,"Moderado",IF(AH9&lt;=0.8,"Mayor","Catastrófico"))))),"")</f>
        <v/>
      </c>
      <c r="AH9" s="158" t="str">
        <f>IFERROR(IF(W9="Impacto",(S9-(+S9*Z9)),IF(W9="Probabilidad",S9,"")),"")</f>
        <v/>
      </c>
      <c r="AI9" s="161" t="str">
        <f>IFERROR(IF(OR(AND(AE9="Muy Baja",AG9="Leve"),AND(AE9="Muy Baja",AG9="Menor"),AND(AE9="Baja",AG9="Leve")),"Bajo",IF(OR(AND(AE9="Muy baja",AG9="Moderado"),AND(AE9="Baja",AG9="Menor"),AND(AE9="Baja",AG9="Moderado"),AND(AE9="Media",AG9="Leve"),AND(AE9="Media",AG9="Menor"),AND(AE9="Media",AG9="Moderado"),AND(AE9="Alta",AG9="Leve"),AND(AE9="Alta",AG9="Menor")),"Moderado",IF(OR(AND(AE9="Muy Baja",AG9="Mayor"),AND(AE9="Baja",AG9="Mayor"),AND(AE9="Media",AG9="Mayor"),AND(AE9="Alta",AG9="Moderado"),AND(AE9="Alta",AG9="Mayor"),AND(AE9="Muy Alta",AG9="Leve"),AND(AE9="Muy Alta",AG9="Menor"),AND(AE9="Muy Alta",AG9="Moderado"),AND(AE9="Muy Alta",AG9="Mayor")),"Alto",IF(OR(AND(AE9="Muy Baja",AG9="Catastrófico"),AND(AE9="Baja",AG9="Catastrófico"),AND(AE9="Media",AG9="Catastrófico"),AND(AE9="Alta",AG9="Catastrófico"),AND(AE9="Muy Alta",AG9="Catastrófico")),"Extremo","")))),"")</f>
        <v/>
      </c>
      <c r="AJ9" s="389"/>
      <c r="AK9" s="181"/>
      <c r="AL9" s="187"/>
      <c r="AM9" s="164"/>
      <c r="AN9" s="164"/>
      <c r="AO9" s="346"/>
      <c r="AP9" s="346"/>
      <c r="AQ9" s="346"/>
      <c r="AR9" s="164"/>
      <c r="AS9" s="187"/>
      <c r="AT9" s="346"/>
      <c r="AU9" s="346"/>
      <c r="AV9" s="367"/>
      <c r="AW9" s="346"/>
      <c r="AX9" s="346"/>
      <c r="AY9" s="349"/>
      <c r="AZ9" s="153"/>
      <c r="BA9" s="153"/>
      <c r="BB9" s="153"/>
      <c r="BC9" s="153"/>
      <c r="BD9" s="153"/>
      <c r="BE9" s="153"/>
      <c r="BF9" s="153"/>
      <c r="BG9" s="153"/>
      <c r="BH9" s="153"/>
      <c r="BI9" s="153"/>
      <c r="BJ9" s="153"/>
      <c r="BK9" s="153"/>
      <c r="BL9" s="153"/>
      <c r="BM9" s="153"/>
      <c r="BN9" s="153"/>
      <c r="BO9" s="153"/>
      <c r="BP9" s="153"/>
    </row>
    <row r="10" spans="1:71" s="118" customFormat="1" ht="48.75" customHeight="1" x14ac:dyDescent="0.2">
      <c r="A10" s="376"/>
      <c r="B10" s="378"/>
      <c r="C10" s="359"/>
      <c r="D10" s="359"/>
      <c r="E10" s="347"/>
      <c r="F10" s="182"/>
      <c r="G10" s="271"/>
      <c r="H10" s="362"/>
      <c r="I10" s="402"/>
      <c r="J10" s="362"/>
      <c r="K10" s="185"/>
      <c r="L10" s="365"/>
      <c r="M10" s="405"/>
      <c r="N10" s="344"/>
      <c r="O10" s="384"/>
      <c r="P10" s="381"/>
      <c r="Q10" s="384">
        <f>IF(NOT(ISERROR(MATCH(P10,_xlfn.ANCHORARRAY(H21),0))),O23&amp;"Por favor no seleccionar los criterios de impacto",P10)</f>
        <v>0</v>
      </c>
      <c r="R10" s="344"/>
      <c r="S10" s="384"/>
      <c r="T10" s="399"/>
      <c r="U10" s="149">
        <v>2</v>
      </c>
      <c r="V10" s="117"/>
      <c r="W10" s="144" t="str">
        <f>IF(OR(X10="Preventivo",X10="Detectivo"),"Probabilidad",IF(X10="Correctivo","Impacto",""))</f>
        <v/>
      </c>
      <c r="X10" s="141"/>
      <c r="Y10" s="141"/>
      <c r="Z10" s="142" t="str">
        <f t="shared" ref="Z10:Z14" si="0">IF(AND(X10="Preventivo",Y10="Automático"),"50%",IF(AND(X10="Preventivo",Y10="Manual"),"40%",IF(AND(X10="Detectivo",Y10="Automático"),"40%",IF(AND(X10="Detectivo",Y10="Manual"),"30%",IF(AND(X10="Correctivo",Y10="Automático"),"35%",IF(AND(X10="Correctivo",Y10="Manual"),"25%",""))))))</f>
        <v/>
      </c>
      <c r="AA10" s="141"/>
      <c r="AB10" s="141"/>
      <c r="AC10" s="141"/>
      <c r="AD10" s="143" t="str">
        <f>IFERROR(IF(AND(W9="Probabilidad",W10="Probabilidad"),(AF9-(+AF9*Z10)),IF(W10="Probabilidad",(O9-(+O9*Z10)),IF(W10="Impacto",AF9,""))),"")</f>
        <v/>
      </c>
      <c r="AE10" s="150" t="str">
        <f t="shared" ref="AE10:AE68" si="1">IFERROR(IF(AD10="","",IF(AD10&lt;=0.2,"Muy Baja",IF(AD10&lt;=0.4,"Baja",IF(AD10&lt;=0.6,"Media",IF(AD10&lt;=0.8,"Alta","Muy Alta"))))),"")</f>
        <v/>
      </c>
      <c r="AF10" s="142" t="str">
        <f t="shared" ref="AF10:AF14" si="2">+AD10</f>
        <v/>
      </c>
      <c r="AG10" s="150" t="str">
        <f t="shared" ref="AG10:AG68" si="3">IFERROR(IF(AH10="","",IF(AH10&lt;=0.2,"Leve",IF(AH10&lt;=0.4,"Menor",IF(AH10&lt;=0.6,"Moderado",IF(AH10&lt;=0.8,"Mayor","Catastrófico"))))),"")</f>
        <v/>
      </c>
      <c r="AH10" s="142" t="str">
        <f>IFERROR(IF(AND(W9="Impacto",W10="Impacto"),(AH9-(+AH9*Z10)),IF(W10="Impacto",($S$9-(+$S$9*Z10)),IF(W10="Probabilidad",AH9,""))),"")</f>
        <v/>
      </c>
      <c r="AI10" s="151" t="str">
        <f t="shared" ref="AI10:AI14" si="4">IFERROR(IF(OR(AND(AE10="Muy Baja",AG10="Leve"),AND(AE10="Muy Baja",AG10="Menor"),AND(AE10="Baja",AG10="Leve")),"Bajo",IF(OR(AND(AE10="Muy baja",AG10="Moderado"),AND(AE10="Baja",AG10="Menor"),AND(AE10="Baja",AG10="Moderado"),AND(AE10="Media",AG10="Leve"),AND(AE10="Media",AG10="Menor"),AND(AE10="Media",AG10="Moderado"),AND(AE10="Alta",AG10="Leve"),AND(AE10="Alta",AG10="Menor")),"Moderado",IF(OR(AND(AE10="Muy Baja",AG10="Mayor"),AND(AE10="Baja",AG10="Mayor"),AND(AE10="Media",AG10="Mayor"),AND(AE10="Alta",AG10="Moderado"),AND(AE10="Alta",AG10="Mayor"),AND(AE10="Muy Alta",AG10="Leve"),AND(AE10="Muy Alta",AG10="Menor"),AND(AE10="Muy Alta",AG10="Moderado"),AND(AE10="Muy Alta",AG10="Mayor")),"Alto",IF(OR(AND(AE10="Muy Baja",AG10="Catastrófico"),AND(AE10="Baja",AG10="Catastrófico"),AND(AE10="Media",AG10="Catastrófico"),AND(AE10="Alta",AG10="Catastrófico"),AND(AE10="Muy Alta",AG10="Catastrófico")),"Extremo","")))),"")</f>
        <v/>
      </c>
      <c r="AJ10" s="390"/>
      <c r="AK10" s="182"/>
      <c r="AL10" s="188"/>
      <c r="AM10" s="140"/>
      <c r="AN10" s="140"/>
      <c r="AO10" s="347"/>
      <c r="AP10" s="347"/>
      <c r="AQ10" s="347"/>
      <c r="AR10" s="140"/>
      <c r="AS10" s="188"/>
      <c r="AT10" s="347"/>
      <c r="AU10" s="347"/>
      <c r="AV10" s="347"/>
      <c r="AW10" s="347"/>
      <c r="AX10" s="347"/>
      <c r="AY10" s="350"/>
      <c r="AZ10" s="147"/>
      <c r="BA10" s="147"/>
      <c r="BB10" s="147"/>
      <c r="BC10" s="147"/>
      <c r="BD10" s="147"/>
      <c r="BE10" s="147"/>
      <c r="BF10" s="147"/>
      <c r="BG10" s="147"/>
      <c r="BH10" s="147"/>
      <c r="BI10" s="147"/>
      <c r="BJ10" s="147"/>
      <c r="BK10" s="147"/>
      <c r="BL10" s="147"/>
      <c r="BM10" s="147"/>
      <c r="BN10" s="147"/>
      <c r="BO10" s="147"/>
      <c r="BP10" s="147"/>
    </row>
    <row r="11" spans="1:71" s="118" customFormat="1" ht="48.75" customHeight="1" x14ac:dyDescent="0.2">
      <c r="A11" s="376"/>
      <c r="B11" s="378"/>
      <c r="C11" s="359"/>
      <c r="D11" s="359"/>
      <c r="E11" s="347"/>
      <c r="F11" s="182"/>
      <c r="G11" s="271"/>
      <c r="H11" s="362"/>
      <c r="I11" s="402"/>
      <c r="J11" s="362"/>
      <c r="K11" s="185"/>
      <c r="L11" s="365"/>
      <c r="M11" s="405"/>
      <c r="N11" s="344"/>
      <c r="O11" s="384"/>
      <c r="P11" s="381"/>
      <c r="Q11" s="384">
        <f>IF(NOT(ISERROR(MATCH(P11,_xlfn.ANCHORARRAY(H22),0))),O24&amp;"Por favor no seleccionar los criterios de impacto",P11)</f>
        <v>0</v>
      </c>
      <c r="R11" s="344"/>
      <c r="S11" s="384"/>
      <c r="T11" s="399"/>
      <c r="U11" s="149">
        <v>3</v>
      </c>
      <c r="V11" s="117"/>
      <c r="W11" s="144" t="str">
        <f>IF(OR(X11="Preventivo",X11="Detectivo"),"Probabilidad",IF(X11="Correctivo","Impacto",""))</f>
        <v/>
      </c>
      <c r="X11" s="141"/>
      <c r="Y11" s="141"/>
      <c r="Z11" s="142" t="str">
        <f t="shared" si="0"/>
        <v/>
      </c>
      <c r="AA11" s="141"/>
      <c r="AB11" s="141"/>
      <c r="AC11" s="141"/>
      <c r="AD11" s="143" t="str">
        <f>IFERROR(IF(AND(W10="Probabilidad",W11="Probabilidad"),(AF10-(+AF10*Z11)),IF(AND(W10="Impacto",W11="Probabilidad"),(AF9-(+AF9*Z11)),IF(W11="Impacto",AF10,""))),"")</f>
        <v/>
      </c>
      <c r="AE11" s="150" t="str">
        <f t="shared" si="1"/>
        <v/>
      </c>
      <c r="AF11" s="142" t="str">
        <f t="shared" si="2"/>
        <v/>
      </c>
      <c r="AG11" s="150" t="str">
        <f t="shared" si="3"/>
        <v/>
      </c>
      <c r="AH11" s="142" t="str">
        <f>IFERROR(IF(AND(W10="Impacto",W11="Impacto"),(AH10-(+AH10*Z11)),IF(AND(W10="Probabilidad",W11="Impacto"),(AH9-(+AH9*Z11)),IF(W11="Probabilidad",AH10,""))),"")</f>
        <v/>
      </c>
      <c r="AI11" s="151" t="str">
        <f t="shared" si="4"/>
        <v/>
      </c>
      <c r="AJ11" s="390"/>
      <c r="AK11" s="182"/>
      <c r="AL11" s="188"/>
      <c r="AM11" s="140"/>
      <c r="AN11" s="140"/>
      <c r="AO11" s="347"/>
      <c r="AP11" s="347"/>
      <c r="AQ11" s="347"/>
      <c r="AR11" s="140"/>
      <c r="AS11" s="188"/>
      <c r="AT11" s="347"/>
      <c r="AU11" s="347"/>
      <c r="AV11" s="347"/>
      <c r="AW11" s="347"/>
      <c r="AX11" s="347"/>
      <c r="AY11" s="350"/>
      <c r="AZ11" s="147"/>
      <c r="BA11" s="147"/>
      <c r="BB11" s="147"/>
      <c r="BC11" s="147"/>
      <c r="BD11" s="147"/>
      <c r="BE11" s="147"/>
      <c r="BF11" s="147"/>
      <c r="BG11" s="147"/>
      <c r="BH11" s="147"/>
      <c r="BI11" s="147"/>
      <c r="BJ11" s="147"/>
      <c r="BK11" s="147"/>
      <c r="BL11" s="147"/>
      <c r="BM11" s="147"/>
      <c r="BN11" s="147"/>
      <c r="BO11" s="147"/>
      <c r="BP11" s="147"/>
    </row>
    <row r="12" spans="1:71" s="118" customFormat="1" ht="48.75" customHeight="1" x14ac:dyDescent="0.2">
      <c r="A12" s="376"/>
      <c r="B12" s="378"/>
      <c r="C12" s="359"/>
      <c r="D12" s="359"/>
      <c r="E12" s="347"/>
      <c r="F12" s="182"/>
      <c r="G12" s="271"/>
      <c r="H12" s="362"/>
      <c r="I12" s="402"/>
      <c r="J12" s="362"/>
      <c r="K12" s="185"/>
      <c r="L12" s="365"/>
      <c r="M12" s="405"/>
      <c r="N12" s="344"/>
      <c r="O12" s="384"/>
      <c r="P12" s="381"/>
      <c r="Q12" s="384">
        <f>IF(NOT(ISERROR(MATCH(P12,_xlfn.ANCHORARRAY(H23),0))),O25&amp;"Por favor no seleccionar los criterios de impacto",P12)</f>
        <v>0</v>
      </c>
      <c r="R12" s="344"/>
      <c r="S12" s="384"/>
      <c r="T12" s="399"/>
      <c r="U12" s="149">
        <v>4</v>
      </c>
      <c r="V12" s="117"/>
      <c r="W12" s="144" t="str">
        <f t="shared" ref="W12:W14" si="5">IF(OR(X12="Preventivo",X12="Detectivo"),"Probabilidad",IF(X12="Correctivo","Impacto",""))</f>
        <v/>
      </c>
      <c r="X12" s="141"/>
      <c r="Y12" s="141"/>
      <c r="Z12" s="142" t="str">
        <f t="shared" si="0"/>
        <v/>
      </c>
      <c r="AA12" s="141"/>
      <c r="AB12" s="141"/>
      <c r="AC12" s="141"/>
      <c r="AD12" s="143" t="str">
        <f t="shared" ref="AD12:AD14" si="6">IFERROR(IF(AND(W11="Probabilidad",W12="Probabilidad"),(AF11-(+AF11*Z12)),IF(AND(W11="Impacto",W12="Probabilidad"),(AF10-(+AF10*Z12)),IF(W12="Impacto",AF11,""))),"")</f>
        <v/>
      </c>
      <c r="AE12" s="150" t="str">
        <f t="shared" si="1"/>
        <v/>
      </c>
      <c r="AF12" s="142" t="str">
        <f t="shared" si="2"/>
        <v/>
      </c>
      <c r="AG12" s="150" t="str">
        <f t="shared" si="3"/>
        <v/>
      </c>
      <c r="AH12" s="142" t="str">
        <f t="shared" ref="AH12:AH14" si="7">IFERROR(IF(AND(W11="Impacto",W12="Impacto"),(AH11-(+AH11*Z12)),IF(AND(W11="Probabilidad",W12="Impacto"),(AH10-(+AH10*Z12)),IF(W12="Probabilidad",AH11,""))),"")</f>
        <v/>
      </c>
      <c r="AI12" s="151" t="str">
        <f>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
      </c>
      <c r="AJ12" s="390"/>
      <c r="AK12" s="182"/>
      <c r="AL12" s="188"/>
      <c r="AM12" s="140"/>
      <c r="AN12" s="140"/>
      <c r="AO12" s="347"/>
      <c r="AP12" s="347"/>
      <c r="AQ12" s="347"/>
      <c r="AR12" s="140"/>
      <c r="AS12" s="188"/>
      <c r="AT12" s="347"/>
      <c r="AU12" s="347"/>
      <c r="AV12" s="347"/>
      <c r="AW12" s="347"/>
      <c r="AX12" s="347"/>
      <c r="AY12" s="350"/>
      <c r="AZ12" s="147"/>
      <c r="BA12" s="147"/>
      <c r="BB12" s="147"/>
      <c r="BC12" s="147"/>
      <c r="BD12" s="147"/>
      <c r="BE12" s="147"/>
      <c r="BF12" s="147"/>
      <c r="BG12" s="147"/>
      <c r="BH12" s="147"/>
      <c r="BI12" s="147"/>
      <c r="BJ12" s="147"/>
      <c r="BK12" s="147"/>
      <c r="BL12" s="147"/>
      <c r="BM12" s="147"/>
      <c r="BN12" s="147"/>
      <c r="BO12" s="147"/>
      <c r="BP12" s="147"/>
    </row>
    <row r="13" spans="1:71" s="118" customFormat="1" ht="48.75" customHeight="1" x14ac:dyDescent="0.2">
      <c r="A13" s="376"/>
      <c r="B13" s="378"/>
      <c r="C13" s="359"/>
      <c r="D13" s="359"/>
      <c r="E13" s="347"/>
      <c r="F13" s="182"/>
      <c r="G13" s="271"/>
      <c r="H13" s="362"/>
      <c r="I13" s="402"/>
      <c r="J13" s="362"/>
      <c r="K13" s="185"/>
      <c r="L13" s="365"/>
      <c r="M13" s="405"/>
      <c r="N13" s="344"/>
      <c r="O13" s="384"/>
      <c r="P13" s="381"/>
      <c r="Q13" s="384">
        <f>IF(NOT(ISERROR(MATCH(P13,_xlfn.ANCHORARRAY(H24),0))),O26&amp;"Por favor no seleccionar los criterios de impacto",P13)</f>
        <v>0</v>
      </c>
      <c r="R13" s="344"/>
      <c r="S13" s="384"/>
      <c r="T13" s="399"/>
      <c r="U13" s="149">
        <v>5</v>
      </c>
      <c r="V13" s="117"/>
      <c r="W13" s="144" t="str">
        <f t="shared" si="5"/>
        <v/>
      </c>
      <c r="X13" s="141"/>
      <c r="Y13" s="141"/>
      <c r="Z13" s="142" t="str">
        <f t="shared" si="0"/>
        <v/>
      </c>
      <c r="AA13" s="141"/>
      <c r="AB13" s="141"/>
      <c r="AC13" s="141"/>
      <c r="AD13" s="143" t="str">
        <f t="shared" si="6"/>
        <v/>
      </c>
      <c r="AE13" s="150" t="str">
        <f t="shared" si="1"/>
        <v/>
      </c>
      <c r="AF13" s="142" t="str">
        <f t="shared" si="2"/>
        <v/>
      </c>
      <c r="AG13" s="150" t="str">
        <f t="shared" si="3"/>
        <v/>
      </c>
      <c r="AH13" s="142" t="str">
        <f t="shared" si="7"/>
        <v/>
      </c>
      <c r="AI13" s="151" t="str">
        <f t="shared" si="4"/>
        <v/>
      </c>
      <c r="AJ13" s="390"/>
      <c r="AK13" s="182"/>
      <c r="AL13" s="188"/>
      <c r="AM13" s="140"/>
      <c r="AN13" s="140"/>
      <c r="AO13" s="347"/>
      <c r="AP13" s="347"/>
      <c r="AQ13" s="347"/>
      <c r="AR13" s="140"/>
      <c r="AS13" s="188"/>
      <c r="AT13" s="347"/>
      <c r="AU13" s="347"/>
      <c r="AV13" s="347"/>
      <c r="AW13" s="347"/>
      <c r="AX13" s="347"/>
      <c r="AY13" s="350"/>
      <c r="AZ13" s="147"/>
      <c r="BA13" s="147"/>
      <c r="BB13" s="147"/>
      <c r="BC13" s="147"/>
      <c r="BD13" s="147"/>
      <c r="BE13" s="147"/>
      <c r="BF13" s="147"/>
      <c r="BG13" s="147"/>
      <c r="BH13" s="147"/>
      <c r="BI13" s="147"/>
      <c r="BJ13" s="147"/>
      <c r="BK13" s="147"/>
      <c r="BL13" s="147"/>
      <c r="BM13" s="147"/>
      <c r="BN13" s="147"/>
      <c r="BO13" s="147"/>
      <c r="BP13" s="147"/>
    </row>
    <row r="14" spans="1:71" s="118" customFormat="1" ht="48.75" customHeight="1" thickBot="1" x14ac:dyDescent="0.25">
      <c r="A14" s="377"/>
      <c r="B14" s="379"/>
      <c r="C14" s="360"/>
      <c r="D14" s="360"/>
      <c r="E14" s="348"/>
      <c r="F14" s="180"/>
      <c r="G14" s="273"/>
      <c r="H14" s="363"/>
      <c r="I14" s="403"/>
      <c r="J14" s="363"/>
      <c r="K14" s="186"/>
      <c r="L14" s="366"/>
      <c r="M14" s="406"/>
      <c r="N14" s="345"/>
      <c r="O14" s="385"/>
      <c r="P14" s="382"/>
      <c r="Q14" s="385">
        <f>IF(NOT(ISERROR(MATCH(P14,_xlfn.ANCHORARRAY(H25),0))),O27&amp;"Por favor no seleccionar los criterios de impacto",P14)</f>
        <v>0</v>
      </c>
      <c r="R14" s="345"/>
      <c r="S14" s="385"/>
      <c r="T14" s="400"/>
      <c r="U14" s="165">
        <v>6</v>
      </c>
      <c r="V14" s="281"/>
      <c r="W14" s="166" t="str">
        <f t="shared" si="5"/>
        <v/>
      </c>
      <c r="X14" s="167"/>
      <c r="Y14" s="167"/>
      <c r="Z14" s="168" t="str">
        <f t="shared" si="0"/>
        <v/>
      </c>
      <c r="AA14" s="167"/>
      <c r="AB14" s="167"/>
      <c r="AC14" s="167"/>
      <c r="AD14" s="169" t="str">
        <f t="shared" si="6"/>
        <v/>
      </c>
      <c r="AE14" s="170" t="str">
        <f t="shared" si="1"/>
        <v/>
      </c>
      <c r="AF14" s="168" t="str">
        <f t="shared" si="2"/>
        <v/>
      </c>
      <c r="AG14" s="170" t="str">
        <f t="shared" si="3"/>
        <v/>
      </c>
      <c r="AH14" s="168" t="str">
        <f t="shared" si="7"/>
        <v/>
      </c>
      <c r="AI14" s="171" t="str">
        <f t="shared" si="4"/>
        <v/>
      </c>
      <c r="AJ14" s="391"/>
      <c r="AK14" s="183"/>
      <c r="AL14" s="189"/>
      <c r="AM14" s="174"/>
      <c r="AN14" s="174"/>
      <c r="AO14" s="348"/>
      <c r="AP14" s="348"/>
      <c r="AQ14" s="348"/>
      <c r="AR14" s="174"/>
      <c r="AS14" s="189"/>
      <c r="AT14" s="348"/>
      <c r="AU14" s="348"/>
      <c r="AV14" s="348"/>
      <c r="AW14" s="348"/>
      <c r="AX14" s="348"/>
      <c r="AY14" s="351"/>
      <c r="AZ14" s="147"/>
      <c r="BA14" s="147"/>
      <c r="BB14" s="147"/>
      <c r="BC14" s="147"/>
      <c r="BD14" s="147"/>
      <c r="BE14" s="147"/>
      <c r="BF14" s="147"/>
      <c r="BG14" s="147"/>
      <c r="BH14" s="147"/>
      <c r="BI14" s="147"/>
      <c r="BJ14" s="147"/>
      <c r="BK14" s="147"/>
      <c r="BL14" s="147"/>
      <c r="BM14" s="147"/>
      <c r="BN14" s="147"/>
      <c r="BO14" s="147"/>
      <c r="BP14" s="147"/>
    </row>
    <row r="15" spans="1:71" s="118" customFormat="1" ht="48.75" customHeight="1" x14ac:dyDescent="0.2">
      <c r="A15" s="408">
        <v>2</v>
      </c>
      <c r="B15" s="378"/>
      <c r="C15" s="359"/>
      <c r="D15" s="359"/>
      <c r="E15" s="347"/>
      <c r="F15" s="179"/>
      <c r="G15" s="280"/>
      <c r="H15" s="361"/>
      <c r="I15" s="424"/>
      <c r="J15" s="361"/>
      <c r="K15" s="191"/>
      <c r="L15" s="365"/>
      <c r="M15" s="425"/>
      <c r="N15" s="422" t="str">
        <f>IF(M15&lt;=0,"",IF(M15&lt;=2,"Muy Baja",IF(M15&lt;=24,"Baja",IF(M15&lt;=500,"Media",IF(M15&lt;=5000,"Alta","Muy Alta")))))</f>
        <v/>
      </c>
      <c r="O15" s="421" t="str">
        <f>IF(N15="","",IF(N15="Muy Baja",0.2,IF(N15="Baja",0.4,IF(N15="Media",0.6,IF(N15="Alta",0.8,IF(N15="Muy Alta",1,))))))</f>
        <v/>
      </c>
      <c r="P15" s="426"/>
      <c r="Q15" s="421">
        <f>IF(NOT(ISERROR(MATCH(P15,'Tabla Impacto'!$B$221:$B$223,0))),'Tabla Impacto'!$F$223&amp;"Por favor no seleccionar los criterios de impacto(Afectación Económica o presupuestal y Pérdida Reputacional)",P15)</f>
        <v>0</v>
      </c>
      <c r="R15" s="422" t="str">
        <f>IF(OR(Q15='Tabla Impacto'!$C$11,Q15='Tabla Impacto'!$D$11),"Leve",IF(OR(Q15='Tabla Impacto'!$C$12,Q15='Tabla Impacto'!$D$12),"Menor",IF(OR(Q15='Tabla Impacto'!$C$13,Q15='Tabla Impacto'!$D$13),"Moderado",IF(OR(Q15='Tabla Impacto'!$C$14,Q15='Tabla Impacto'!$D$14),"Mayor",IF(OR(Q15='Tabla Impacto'!$C$15,Q15='Tabla Impacto'!$D$15),"Catastrófico","")))))</f>
        <v/>
      </c>
      <c r="S15" s="421" t="str">
        <f>IF(R15="","",IF(R15="Leve",0.2,IF(R15="Menor",0.4,IF(R15="Moderado",0.6,IF(R15="Mayor",0.8,IF(R15="Catastrófico",1,))))))</f>
        <v/>
      </c>
      <c r="T15" s="423" t="str">
        <f>IF(OR(AND(N15="Muy Baja",R15="Leve"),AND(N15="Muy Baja",R15="Menor"),AND(N15="Baja",R15="Leve")),"Bajo",IF(OR(AND(N15="Muy baja",R15="Moderado"),AND(N15="Baja",R15="Menor"),AND(N15="Baja",R15="Moderado"),AND(N15="Media",R15="Leve"),AND(N15="Media",R15="Menor"),AND(N15="Media",R15="Moderado"),AND(N15="Alta",R15="Leve"),AND(N15="Alta",R15="Menor")),"Moderado",IF(OR(AND(N15="Muy Baja",R15="Mayor"),AND(N15="Baja",R15="Mayor"),AND(N15="Media",R15="Mayor"),AND(N15="Alta",R15="Moderado"),AND(N15="Alta",R15="Mayor"),AND(N15="Muy Alta",R15="Leve"),AND(N15="Muy Alta",R15="Menor"),AND(N15="Muy Alta",R15="Moderado"),AND(N15="Muy Alta",R15="Mayor")),"Alto",IF(OR(AND(N15="Muy Baja",R15="Catastrófico"),AND(N15="Baja",R15="Catastrófico"),AND(N15="Media",R15="Catastrófico"),AND(N15="Alta",R15="Catastrófico"),AND(N15="Muy Alta",R15="Catastrófico")),"Extremo",""))))</f>
        <v/>
      </c>
      <c r="U15" s="252">
        <v>1</v>
      </c>
      <c r="V15" s="279"/>
      <c r="W15" s="253" t="str">
        <f>IF(OR(X15="Preventivo",X15="Detectivo"),"Probabilidad",IF(X15="Correctivo","Impacto",""))</f>
        <v/>
      </c>
      <c r="X15" s="254"/>
      <c r="Y15" s="254"/>
      <c r="Z15" s="255" t="str">
        <f>IF(AND(X15="Preventivo",Y15="Automático"),"50%",IF(AND(X15="Preventivo",Y15="Manual"),"40%",IF(AND(X15="Detectivo",Y15="Automático"),"40%",IF(AND(X15="Detectivo",Y15="Manual"),"30%",IF(AND(X15="Correctivo",Y15="Automático"),"35%",IF(AND(X15="Correctivo",Y15="Manual"),"25%",""))))))</f>
        <v/>
      </c>
      <c r="AA15" s="254"/>
      <c r="AB15" s="254"/>
      <c r="AC15" s="254"/>
      <c r="AD15" s="256" t="str">
        <f>IFERROR(IF(W15="Probabilidad",(O15-(+O15*Z15)),IF(W15="Impacto",O15,"")),"")</f>
        <v/>
      </c>
      <c r="AE15" s="257" t="str">
        <f>IFERROR(IF(AD15="","",IF(AD15&lt;=0.2,"Muy Baja",IF(AD15&lt;=0.4,"Baja",IF(AD15&lt;=0.6,"Media",IF(AD15&lt;=0.8,"Alta","Muy Alta"))))),"")</f>
        <v/>
      </c>
      <c r="AF15" s="255" t="str">
        <f>+AD15</f>
        <v/>
      </c>
      <c r="AG15" s="257" t="str">
        <f>IFERROR(IF(AH15="","",IF(AH15&lt;=0.2,"Leve",IF(AH15&lt;=0.4,"Menor",IF(AH15&lt;=0.6,"Moderado",IF(AH15&lt;=0.8,"Mayor","Catastrófico"))))),"")</f>
        <v/>
      </c>
      <c r="AH15" s="255" t="str">
        <f>IFERROR(IF(W15="Impacto",(S15-(+S15*Z15)),IF(W15="Probabilidad",S15,"")),"")</f>
        <v/>
      </c>
      <c r="AI15" s="258" t="str">
        <f>IFERROR(IF(OR(AND(AE15="Muy Baja",AG15="Leve"),AND(AE15="Muy Baja",AG15="Menor"),AND(AE15="Baja",AG15="Leve")),"Bajo",IF(OR(AND(AE15="Muy baja",AG15="Moderado"),AND(AE15="Baja",AG15="Menor"),AND(AE15="Baja",AG15="Moderado"),AND(AE15="Media",AG15="Leve"),AND(AE15="Media",AG15="Menor"),AND(AE15="Media",AG15="Moderado"),AND(AE15="Alta",AG15="Leve"),AND(AE15="Alta",AG15="Menor")),"Moderado",IF(OR(AND(AE15="Muy Baja",AG15="Mayor"),AND(AE15="Baja",AG15="Mayor"),AND(AE15="Media",AG15="Mayor"),AND(AE15="Alta",AG15="Moderado"),AND(AE15="Alta",AG15="Mayor"),AND(AE15="Muy Alta",AG15="Leve"),AND(AE15="Muy Alta",AG15="Menor"),AND(AE15="Muy Alta",AG15="Moderado"),AND(AE15="Muy Alta",AG15="Mayor")),"Alto",IF(OR(AND(AE15="Muy Baja",AG15="Catastrófico"),AND(AE15="Baja",AG15="Catastrófico"),AND(AE15="Media",AG15="Catastrófico"),AND(AE15="Alta",AG15="Catastrófico"),AND(AE15="Muy Alta",AG15="Catastrófico")),"Extremo","")))),"")</f>
        <v/>
      </c>
      <c r="AJ15" s="390"/>
      <c r="AK15" s="251"/>
      <c r="AL15" s="259"/>
      <c r="AM15" s="260"/>
      <c r="AN15" s="260"/>
      <c r="AO15" s="347"/>
      <c r="AP15" s="347"/>
      <c r="AQ15" s="347"/>
      <c r="AR15" s="260"/>
      <c r="AS15" s="259"/>
      <c r="AT15" s="347"/>
      <c r="AU15" s="347"/>
      <c r="AV15" s="388"/>
      <c r="AW15" s="347"/>
      <c r="AX15" s="347"/>
      <c r="AY15" s="350"/>
      <c r="AZ15" s="147"/>
      <c r="BA15" s="147"/>
      <c r="BB15" s="147"/>
      <c r="BC15" s="147"/>
      <c r="BD15" s="147"/>
      <c r="BE15" s="147"/>
      <c r="BF15" s="147"/>
      <c r="BG15" s="147"/>
      <c r="BH15" s="147"/>
      <c r="BI15" s="147"/>
      <c r="BJ15" s="147"/>
      <c r="BK15" s="147"/>
      <c r="BL15" s="147"/>
      <c r="BM15" s="147"/>
      <c r="BN15" s="147"/>
      <c r="BO15" s="147"/>
      <c r="BP15" s="147"/>
    </row>
    <row r="16" spans="1:71" s="118" customFormat="1" ht="48.75" customHeight="1" x14ac:dyDescent="0.2">
      <c r="A16" s="376"/>
      <c r="B16" s="378"/>
      <c r="C16" s="359"/>
      <c r="D16" s="359"/>
      <c r="E16" s="347"/>
      <c r="F16" s="182"/>
      <c r="G16" s="271"/>
      <c r="H16" s="362"/>
      <c r="I16" s="402"/>
      <c r="J16" s="362"/>
      <c r="K16" s="185"/>
      <c r="L16" s="365"/>
      <c r="M16" s="405"/>
      <c r="N16" s="344"/>
      <c r="O16" s="384"/>
      <c r="P16" s="381"/>
      <c r="Q16" s="384">
        <f>IF(NOT(ISERROR(MATCH(P16,_xlfn.ANCHORARRAY(H27),0))),O29&amp;"Por favor no seleccionar los criterios de impacto",P16)</f>
        <v>0</v>
      </c>
      <c r="R16" s="344"/>
      <c r="S16" s="384"/>
      <c r="T16" s="399"/>
      <c r="U16" s="149">
        <v>2</v>
      </c>
      <c r="V16" s="117"/>
      <c r="W16" s="144" t="str">
        <f>IF(OR(X16="Preventivo",X16="Detectivo"),"Probabilidad",IF(X16="Correctivo","Impacto",""))</f>
        <v/>
      </c>
      <c r="X16" s="141"/>
      <c r="Y16" s="141"/>
      <c r="Z16" s="142" t="str">
        <f t="shared" ref="Z16:Z20" si="8">IF(AND(X16="Preventivo",Y16="Automático"),"50%",IF(AND(X16="Preventivo",Y16="Manual"),"40%",IF(AND(X16="Detectivo",Y16="Automático"),"40%",IF(AND(X16="Detectivo",Y16="Manual"),"30%",IF(AND(X16="Correctivo",Y16="Automático"),"35%",IF(AND(X16="Correctivo",Y16="Manual"),"25%",""))))))</f>
        <v/>
      </c>
      <c r="AA16" s="141"/>
      <c r="AB16" s="141"/>
      <c r="AC16" s="141"/>
      <c r="AD16" s="143" t="str">
        <f>IFERROR(IF(AND(W15="Probabilidad",W16="Probabilidad"),(AF15-(+AF15*Z16)),IF(W16="Probabilidad",(O15-(+O15*Z16)),IF(W16="Impacto",AF15,""))),"")</f>
        <v/>
      </c>
      <c r="AE16" s="150" t="str">
        <f t="shared" si="1"/>
        <v/>
      </c>
      <c r="AF16" s="142" t="str">
        <f t="shared" ref="AF16:AF20" si="9">+AD16</f>
        <v/>
      </c>
      <c r="AG16" s="150" t="str">
        <f t="shared" si="3"/>
        <v/>
      </c>
      <c r="AH16" s="142" t="str">
        <f>IFERROR(IF(AND(W15="Impacto",W16="Impacto"),(AH9-(+AH9*Z16)),IF(W16="Impacto",($S$15-(+$S$15*Z16)),IF(W16="Probabilidad",AH9,""))),"")</f>
        <v/>
      </c>
      <c r="AI16" s="151" t="str">
        <f t="shared" ref="AI16:AI17" si="10">IFERROR(IF(OR(AND(AE16="Muy Baja",AG16="Leve"),AND(AE16="Muy Baja",AG16="Menor"),AND(AE16="Baja",AG16="Leve")),"Bajo",IF(OR(AND(AE16="Muy baja",AG16="Moderado"),AND(AE16="Baja",AG16="Menor"),AND(AE16="Baja",AG16="Moderado"),AND(AE16="Media",AG16="Leve"),AND(AE16="Media",AG16="Menor"),AND(AE16="Media",AG16="Moderado"),AND(AE16="Alta",AG16="Leve"),AND(AE16="Alta",AG16="Menor")),"Moderado",IF(OR(AND(AE16="Muy Baja",AG16="Mayor"),AND(AE16="Baja",AG16="Mayor"),AND(AE16="Media",AG16="Mayor"),AND(AE16="Alta",AG16="Moderado"),AND(AE16="Alta",AG16="Mayor"),AND(AE16="Muy Alta",AG16="Leve"),AND(AE16="Muy Alta",AG16="Menor"),AND(AE16="Muy Alta",AG16="Moderado"),AND(AE16="Muy Alta",AG16="Mayor")),"Alto",IF(OR(AND(AE16="Muy Baja",AG16="Catastrófico"),AND(AE16="Baja",AG16="Catastrófico"),AND(AE16="Media",AG16="Catastrófico"),AND(AE16="Alta",AG16="Catastrófico"),AND(AE16="Muy Alta",AG16="Catastrófico")),"Extremo","")))),"")</f>
        <v/>
      </c>
      <c r="AJ16" s="390"/>
      <c r="AK16" s="146"/>
      <c r="AL16" s="145"/>
      <c r="AM16" s="140"/>
      <c r="AN16" s="140"/>
      <c r="AO16" s="347"/>
      <c r="AP16" s="347"/>
      <c r="AQ16" s="347"/>
      <c r="AR16" s="140"/>
      <c r="AS16" s="145"/>
      <c r="AT16" s="347"/>
      <c r="AU16" s="347"/>
      <c r="AV16" s="347"/>
      <c r="AW16" s="347"/>
      <c r="AX16" s="347"/>
      <c r="AY16" s="350"/>
      <c r="AZ16" s="147"/>
      <c r="BA16" s="147"/>
      <c r="BB16" s="147"/>
      <c r="BC16" s="147"/>
      <c r="BD16" s="147"/>
      <c r="BE16" s="147"/>
      <c r="BF16" s="147"/>
      <c r="BG16" s="147"/>
      <c r="BH16" s="147"/>
      <c r="BI16" s="147"/>
      <c r="BJ16" s="147"/>
      <c r="BK16" s="147"/>
      <c r="BL16" s="147"/>
      <c r="BM16" s="147"/>
      <c r="BN16" s="147"/>
      <c r="BO16" s="147"/>
      <c r="BP16" s="147"/>
    </row>
    <row r="17" spans="1:68" s="118" customFormat="1" ht="48.75" customHeight="1" x14ac:dyDescent="0.2">
      <c r="A17" s="376"/>
      <c r="B17" s="378"/>
      <c r="C17" s="359"/>
      <c r="D17" s="359"/>
      <c r="E17" s="347"/>
      <c r="F17" s="182"/>
      <c r="G17" s="271"/>
      <c r="H17" s="362"/>
      <c r="I17" s="402"/>
      <c r="J17" s="362"/>
      <c r="K17" s="185"/>
      <c r="L17" s="365"/>
      <c r="M17" s="405"/>
      <c r="N17" s="344"/>
      <c r="O17" s="384"/>
      <c r="P17" s="381"/>
      <c r="Q17" s="384">
        <f>IF(NOT(ISERROR(MATCH(P17,_xlfn.ANCHORARRAY(H28),0))),O30&amp;"Por favor no seleccionar los criterios de impacto",P17)</f>
        <v>0</v>
      </c>
      <c r="R17" s="344"/>
      <c r="S17" s="384"/>
      <c r="T17" s="399"/>
      <c r="U17" s="149">
        <v>3</v>
      </c>
      <c r="V17" s="117"/>
      <c r="W17" s="144" t="str">
        <f>IF(OR(X17="Preventivo",X17="Detectivo"),"Probabilidad",IF(X17="Correctivo","Impacto",""))</f>
        <v/>
      </c>
      <c r="X17" s="141"/>
      <c r="Y17" s="141"/>
      <c r="Z17" s="142" t="str">
        <f t="shared" si="8"/>
        <v/>
      </c>
      <c r="AA17" s="141"/>
      <c r="AB17" s="141"/>
      <c r="AC17" s="141"/>
      <c r="AD17" s="143" t="str">
        <f>IFERROR(IF(AND(W16="Probabilidad",W17="Probabilidad"),(AF16-(+AF16*Z17)),IF(AND(W16="Impacto",W17="Probabilidad"),(AF15-(+AF15*Z17)),IF(W17="Impacto",AF16,""))),"")</f>
        <v/>
      </c>
      <c r="AE17" s="150" t="str">
        <f t="shared" si="1"/>
        <v/>
      </c>
      <c r="AF17" s="142" t="str">
        <f t="shared" si="9"/>
        <v/>
      </c>
      <c r="AG17" s="150" t="str">
        <f t="shared" si="3"/>
        <v/>
      </c>
      <c r="AH17" s="142" t="str">
        <f>IFERROR(IF(AND(W16="Impacto",W17="Impacto"),(AH16-(+AH16*Z17)),IF(AND(W16="Probabilidad",W17="Impacto"),(AH15-(+AH15*Z17)),IF(W17="Probabilidad",AH16,""))),"")</f>
        <v/>
      </c>
      <c r="AI17" s="151" t="str">
        <f t="shared" si="10"/>
        <v/>
      </c>
      <c r="AJ17" s="390"/>
      <c r="AK17" s="146"/>
      <c r="AL17" s="145"/>
      <c r="AM17" s="140"/>
      <c r="AN17" s="140"/>
      <c r="AO17" s="347"/>
      <c r="AP17" s="347"/>
      <c r="AQ17" s="347"/>
      <c r="AR17" s="140"/>
      <c r="AS17" s="145"/>
      <c r="AT17" s="347"/>
      <c r="AU17" s="347"/>
      <c r="AV17" s="347"/>
      <c r="AW17" s="347"/>
      <c r="AX17" s="347"/>
      <c r="AY17" s="350"/>
      <c r="AZ17" s="147"/>
      <c r="BA17" s="147"/>
      <c r="BB17" s="147"/>
      <c r="BC17" s="147"/>
      <c r="BD17" s="147"/>
      <c r="BE17" s="147"/>
      <c r="BF17" s="147"/>
      <c r="BG17" s="147"/>
      <c r="BH17" s="147"/>
      <c r="BI17" s="147"/>
      <c r="BJ17" s="147"/>
      <c r="BK17" s="147"/>
      <c r="BL17" s="147"/>
      <c r="BM17" s="147"/>
      <c r="BN17" s="147"/>
      <c r="BO17" s="147"/>
      <c r="BP17" s="147"/>
    </row>
    <row r="18" spans="1:68" s="118" customFormat="1" ht="48.75" customHeight="1" x14ac:dyDescent="0.2">
      <c r="A18" s="376"/>
      <c r="B18" s="378"/>
      <c r="C18" s="359"/>
      <c r="D18" s="359"/>
      <c r="E18" s="347"/>
      <c r="F18" s="182"/>
      <c r="G18" s="271"/>
      <c r="H18" s="362"/>
      <c r="I18" s="402"/>
      <c r="J18" s="362"/>
      <c r="K18" s="185"/>
      <c r="L18" s="365"/>
      <c r="M18" s="405"/>
      <c r="N18" s="344"/>
      <c r="O18" s="384"/>
      <c r="P18" s="381"/>
      <c r="Q18" s="384">
        <f>IF(NOT(ISERROR(MATCH(P18,_xlfn.ANCHORARRAY(H29),0))),O31&amp;"Por favor no seleccionar los criterios de impacto",P18)</f>
        <v>0</v>
      </c>
      <c r="R18" s="344"/>
      <c r="S18" s="384"/>
      <c r="T18" s="399"/>
      <c r="U18" s="149">
        <v>4</v>
      </c>
      <c r="V18" s="117"/>
      <c r="W18" s="144" t="str">
        <f t="shared" ref="W18:W20" si="11">IF(OR(X18="Preventivo",X18="Detectivo"),"Probabilidad",IF(X18="Correctivo","Impacto",""))</f>
        <v/>
      </c>
      <c r="X18" s="141"/>
      <c r="Y18" s="141"/>
      <c r="Z18" s="142" t="str">
        <f t="shared" si="8"/>
        <v/>
      </c>
      <c r="AA18" s="141"/>
      <c r="AB18" s="141"/>
      <c r="AC18" s="141"/>
      <c r="AD18" s="143" t="str">
        <f t="shared" ref="AD18:AD20" si="12">IFERROR(IF(AND(W17="Probabilidad",W18="Probabilidad"),(AF17-(+AF17*Z18)),IF(AND(W17="Impacto",W18="Probabilidad"),(AF16-(+AF16*Z18)),IF(W18="Impacto",AF17,""))),"")</f>
        <v/>
      </c>
      <c r="AE18" s="150" t="str">
        <f t="shared" si="1"/>
        <v/>
      </c>
      <c r="AF18" s="142" t="str">
        <f t="shared" si="9"/>
        <v/>
      </c>
      <c r="AG18" s="150" t="str">
        <f t="shared" si="3"/>
        <v/>
      </c>
      <c r="AH18" s="142" t="str">
        <f t="shared" ref="AH18:AH20" si="13">IFERROR(IF(AND(W17="Impacto",W18="Impacto"),(AH17-(+AH17*Z18)),IF(AND(W17="Probabilidad",W18="Impacto"),(AH16-(+AH16*Z18)),IF(W18="Probabilidad",AH17,""))),"")</f>
        <v/>
      </c>
      <c r="AI18" s="151" t="str">
        <f>IFERROR(IF(OR(AND(AE18="Muy Baja",AG18="Leve"),AND(AE18="Muy Baja",AG18="Menor"),AND(AE18="Baja",AG18="Leve")),"Bajo",IF(OR(AND(AE18="Muy baja",AG18="Moderado"),AND(AE18="Baja",AG18="Menor"),AND(AE18="Baja",AG18="Moderado"),AND(AE18="Media",AG18="Leve"),AND(AE18="Media",AG18="Menor"),AND(AE18="Media",AG18="Moderado"),AND(AE18="Alta",AG18="Leve"),AND(AE18="Alta",AG18="Menor")),"Moderado",IF(OR(AND(AE18="Muy Baja",AG18="Mayor"),AND(AE18="Baja",AG18="Mayor"),AND(AE18="Media",AG18="Mayor"),AND(AE18="Alta",AG18="Moderado"),AND(AE18="Alta",AG18="Mayor"),AND(AE18="Muy Alta",AG18="Leve"),AND(AE18="Muy Alta",AG18="Menor"),AND(AE18="Muy Alta",AG18="Moderado"),AND(AE18="Muy Alta",AG18="Mayor")),"Alto",IF(OR(AND(AE18="Muy Baja",AG18="Catastrófico"),AND(AE18="Baja",AG18="Catastrófico"),AND(AE18="Media",AG18="Catastrófico"),AND(AE18="Alta",AG18="Catastrófico"),AND(AE18="Muy Alta",AG18="Catastrófico")),"Extremo","")))),"")</f>
        <v/>
      </c>
      <c r="AJ18" s="390"/>
      <c r="AK18" s="146"/>
      <c r="AL18" s="145"/>
      <c r="AM18" s="140"/>
      <c r="AN18" s="140"/>
      <c r="AO18" s="347"/>
      <c r="AP18" s="347"/>
      <c r="AQ18" s="347"/>
      <c r="AR18" s="140"/>
      <c r="AS18" s="145"/>
      <c r="AT18" s="347"/>
      <c r="AU18" s="347"/>
      <c r="AV18" s="347"/>
      <c r="AW18" s="347"/>
      <c r="AX18" s="347"/>
      <c r="AY18" s="350"/>
      <c r="AZ18" s="147"/>
      <c r="BA18" s="147"/>
      <c r="BB18" s="147"/>
      <c r="BC18" s="147"/>
      <c r="BD18" s="147"/>
      <c r="BE18" s="147"/>
      <c r="BF18" s="147"/>
      <c r="BG18" s="147"/>
      <c r="BH18" s="147"/>
      <c r="BI18" s="147"/>
      <c r="BJ18" s="147"/>
      <c r="BK18" s="147"/>
      <c r="BL18" s="147"/>
      <c r="BM18" s="147"/>
      <c r="BN18" s="147"/>
      <c r="BO18" s="147"/>
      <c r="BP18" s="147"/>
    </row>
    <row r="19" spans="1:68" s="118" customFormat="1" ht="48.75" customHeight="1" x14ac:dyDescent="0.2">
      <c r="A19" s="376"/>
      <c r="B19" s="378"/>
      <c r="C19" s="359"/>
      <c r="D19" s="359"/>
      <c r="E19" s="347"/>
      <c r="F19" s="182"/>
      <c r="G19" s="271"/>
      <c r="H19" s="362"/>
      <c r="I19" s="402"/>
      <c r="J19" s="362"/>
      <c r="K19" s="185"/>
      <c r="L19" s="365"/>
      <c r="M19" s="405"/>
      <c r="N19" s="344"/>
      <c r="O19" s="384"/>
      <c r="P19" s="381"/>
      <c r="Q19" s="384">
        <f>IF(NOT(ISERROR(MATCH(P19,_xlfn.ANCHORARRAY(H30),0))),O32&amp;"Por favor no seleccionar los criterios de impacto",P19)</f>
        <v>0</v>
      </c>
      <c r="R19" s="344"/>
      <c r="S19" s="384"/>
      <c r="T19" s="399"/>
      <c r="U19" s="149">
        <v>5</v>
      </c>
      <c r="V19" s="117"/>
      <c r="W19" s="144" t="str">
        <f t="shared" si="11"/>
        <v/>
      </c>
      <c r="X19" s="141"/>
      <c r="Y19" s="141"/>
      <c r="Z19" s="142" t="str">
        <f t="shared" si="8"/>
        <v/>
      </c>
      <c r="AA19" s="141"/>
      <c r="AB19" s="141"/>
      <c r="AC19" s="141"/>
      <c r="AD19" s="143" t="str">
        <f t="shared" si="12"/>
        <v/>
      </c>
      <c r="AE19" s="150" t="str">
        <f t="shared" si="1"/>
        <v/>
      </c>
      <c r="AF19" s="142" t="str">
        <f t="shared" si="9"/>
        <v/>
      </c>
      <c r="AG19" s="150" t="str">
        <f t="shared" si="3"/>
        <v/>
      </c>
      <c r="AH19" s="142" t="str">
        <f t="shared" si="13"/>
        <v/>
      </c>
      <c r="AI19" s="151" t="str">
        <f t="shared" ref="AI19:AI20" si="14">IFERROR(IF(OR(AND(AE19="Muy Baja",AG19="Leve"),AND(AE19="Muy Baja",AG19="Menor"),AND(AE19="Baja",AG19="Leve")),"Bajo",IF(OR(AND(AE19="Muy baja",AG19="Moderado"),AND(AE19="Baja",AG19="Menor"),AND(AE19="Baja",AG19="Moderado"),AND(AE19="Media",AG19="Leve"),AND(AE19="Media",AG19="Menor"),AND(AE19="Media",AG19="Moderado"),AND(AE19="Alta",AG19="Leve"),AND(AE19="Alta",AG19="Menor")),"Moderado",IF(OR(AND(AE19="Muy Baja",AG19="Mayor"),AND(AE19="Baja",AG19="Mayor"),AND(AE19="Media",AG19="Mayor"),AND(AE19="Alta",AG19="Moderado"),AND(AE19="Alta",AG19="Mayor"),AND(AE19="Muy Alta",AG19="Leve"),AND(AE19="Muy Alta",AG19="Menor"),AND(AE19="Muy Alta",AG19="Moderado"),AND(AE19="Muy Alta",AG19="Mayor")),"Alto",IF(OR(AND(AE19="Muy Baja",AG19="Catastrófico"),AND(AE19="Baja",AG19="Catastrófico"),AND(AE19="Media",AG19="Catastrófico"),AND(AE19="Alta",AG19="Catastrófico"),AND(AE19="Muy Alta",AG19="Catastrófico")),"Extremo","")))),"")</f>
        <v/>
      </c>
      <c r="AJ19" s="390"/>
      <c r="AK19" s="146"/>
      <c r="AL19" s="145"/>
      <c r="AM19" s="140"/>
      <c r="AN19" s="140"/>
      <c r="AO19" s="347"/>
      <c r="AP19" s="347"/>
      <c r="AQ19" s="347"/>
      <c r="AR19" s="140"/>
      <c r="AS19" s="145"/>
      <c r="AT19" s="347"/>
      <c r="AU19" s="347"/>
      <c r="AV19" s="347"/>
      <c r="AW19" s="347"/>
      <c r="AX19" s="347"/>
      <c r="AY19" s="350"/>
      <c r="AZ19" s="147"/>
      <c r="BA19" s="147"/>
      <c r="BB19" s="147"/>
      <c r="BC19" s="147"/>
      <c r="BD19" s="147"/>
      <c r="BE19" s="147"/>
      <c r="BF19" s="147"/>
      <c r="BG19" s="147"/>
      <c r="BH19" s="147"/>
      <c r="BI19" s="147"/>
      <c r="BJ19" s="147"/>
      <c r="BK19" s="147"/>
      <c r="BL19" s="147"/>
      <c r="BM19" s="147"/>
      <c r="BN19" s="147"/>
      <c r="BO19" s="147"/>
      <c r="BP19" s="147"/>
    </row>
    <row r="20" spans="1:68" s="118" customFormat="1" ht="48.75" customHeight="1" thickBot="1" x14ac:dyDescent="0.25">
      <c r="A20" s="377"/>
      <c r="B20" s="379"/>
      <c r="C20" s="360"/>
      <c r="D20" s="360"/>
      <c r="E20" s="348"/>
      <c r="F20" s="179"/>
      <c r="G20" s="273"/>
      <c r="H20" s="363"/>
      <c r="I20" s="403"/>
      <c r="J20" s="363"/>
      <c r="K20" s="186"/>
      <c r="L20" s="366"/>
      <c r="M20" s="406"/>
      <c r="N20" s="345"/>
      <c r="O20" s="385"/>
      <c r="P20" s="382"/>
      <c r="Q20" s="385">
        <f>IF(NOT(ISERROR(MATCH(P20,_xlfn.ANCHORARRAY(H31),0))),O33&amp;"Por favor no seleccionar los criterios de impacto",P20)</f>
        <v>0</v>
      </c>
      <c r="R20" s="345"/>
      <c r="S20" s="385"/>
      <c r="T20" s="400"/>
      <c r="U20" s="165">
        <v>6</v>
      </c>
      <c r="V20" s="281"/>
      <c r="W20" s="166" t="str">
        <f t="shared" si="11"/>
        <v/>
      </c>
      <c r="X20" s="167"/>
      <c r="Y20" s="167"/>
      <c r="Z20" s="168" t="str">
        <f t="shared" si="8"/>
        <v/>
      </c>
      <c r="AA20" s="167"/>
      <c r="AB20" s="167"/>
      <c r="AC20" s="167"/>
      <c r="AD20" s="169" t="str">
        <f t="shared" si="12"/>
        <v/>
      </c>
      <c r="AE20" s="170" t="str">
        <f t="shared" si="1"/>
        <v/>
      </c>
      <c r="AF20" s="168" t="str">
        <f t="shared" si="9"/>
        <v/>
      </c>
      <c r="AG20" s="170" t="str">
        <f t="shared" si="3"/>
        <v/>
      </c>
      <c r="AH20" s="168" t="str">
        <f t="shared" si="13"/>
        <v/>
      </c>
      <c r="AI20" s="171" t="str">
        <f t="shared" si="14"/>
        <v/>
      </c>
      <c r="AJ20" s="391"/>
      <c r="AK20" s="172"/>
      <c r="AL20" s="173"/>
      <c r="AM20" s="174"/>
      <c r="AN20" s="174"/>
      <c r="AO20" s="348"/>
      <c r="AP20" s="348"/>
      <c r="AQ20" s="348"/>
      <c r="AR20" s="174"/>
      <c r="AS20" s="173"/>
      <c r="AT20" s="348"/>
      <c r="AU20" s="348"/>
      <c r="AV20" s="348"/>
      <c r="AW20" s="348"/>
      <c r="AX20" s="348"/>
      <c r="AY20" s="351"/>
      <c r="AZ20" s="147"/>
      <c r="BA20" s="147"/>
      <c r="BB20" s="147"/>
      <c r="BC20" s="147"/>
      <c r="BD20" s="147"/>
      <c r="BE20" s="147"/>
      <c r="BF20" s="147"/>
      <c r="BG20" s="147"/>
      <c r="BH20" s="147"/>
      <c r="BI20" s="147"/>
      <c r="BJ20" s="147"/>
      <c r="BK20" s="147"/>
      <c r="BL20" s="147"/>
      <c r="BM20" s="147"/>
      <c r="BN20" s="147"/>
      <c r="BO20" s="147"/>
      <c r="BP20" s="147"/>
    </row>
    <row r="21" spans="1:68" s="118" customFormat="1" ht="48.75" customHeight="1" x14ac:dyDescent="0.2">
      <c r="A21" s="375">
        <v>3</v>
      </c>
      <c r="B21" s="407"/>
      <c r="C21" s="358"/>
      <c r="D21" s="358"/>
      <c r="E21" s="346"/>
      <c r="F21" s="178"/>
      <c r="G21" s="272"/>
      <c r="H21" s="368"/>
      <c r="I21" s="401"/>
      <c r="J21" s="368"/>
      <c r="K21" s="184"/>
      <c r="L21" s="364"/>
      <c r="M21" s="404"/>
      <c r="N21" s="343" t="str">
        <f>IF(M21&lt;=0,"",IF(M21&lt;=2,"Muy Baja",IF(M21&lt;=24,"Baja",IF(M21&lt;=500,"Media",IF(M21&lt;=5000,"Alta","Muy Alta")))))</f>
        <v/>
      </c>
      <c r="O21" s="383" t="str">
        <f>IF(N21="","",IF(N21="Muy Baja",0.2,IF(N21="Baja",0.4,IF(N21="Media",0.6,IF(N21="Alta",0.8,IF(N21="Muy Alta",1,))))))</f>
        <v/>
      </c>
      <c r="P21" s="380"/>
      <c r="Q21" s="383">
        <f>IF(NOT(ISERROR(MATCH(P21,'Tabla Impacto'!$B$221:$B$223,0))),'Tabla Impacto'!$F$223&amp;"Por favor no seleccionar los criterios de impacto(Afectación Económica o presupuestal y Pérdida Reputacional)",P21)</f>
        <v>0</v>
      </c>
      <c r="R21" s="343" t="str">
        <f>IF(OR(Q21='Tabla Impacto'!$C$11,Q21='Tabla Impacto'!$D$11),"Leve",IF(OR(Q21='Tabla Impacto'!$C$12,Q21='Tabla Impacto'!$D$12),"Menor",IF(OR(Q21='Tabla Impacto'!$C$13,Q21='Tabla Impacto'!$D$13),"Moderado",IF(OR(Q21='Tabla Impacto'!$C$14,Q21='Tabla Impacto'!$D$14),"Mayor",IF(OR(Q21='Tabla Impacto'!$C$15,Q21='Tabla Impacto'!$D$15),"Catastrófico","")))))</f>
        <v/>
      </c>
      <c r="S21" s="383" t="str">
        <f>IF(R21="","",IF(R21="Leve",0.2,IF(R21="Menor",0.4,IF(R21="Moderado",0.6,IF(R21="Mayor",0.8,IF(R21="Catastrófico",1,))))))</f>
        <v/>
      </c>
      <c r="T21" s="398" t="str">
        <f>IF(OR(AND(N21="Muy Baja",R21="Leve"),AND(N21="Muy Baja",R21="Menor"),AND(N21="Baja",R21="Leve")),"Bajo",IF(OR(AND(N21="Muy baja",R21="Moderado"),AND(N21="Baja",R21="Menor"),AND(N21="Baja",R21="Moderado"),AND(N21="Media",R21="Leve"),AND(N21="Media",R21="Menor"),AND(N21="Media",R21="Moderado"),AND(N21="Alta",R21="Leve"),AND(N21="Alta",R21="Menor")),"Moderado",IF(OR(AND(N21="Muy Baja",R21="Mayor"),AND(N21="Baja",R21="Mayor"),AND(N21="Media",R21="Mayor"),AND(N21="Alta",R21="Moderado"),AND(N21="Alta",R21="Mayor"),AND(N21="Muy Alta",R21="Leve"),AND(N21="Muy Alta",R21="Menor"),AND(N21="Muy Alta",R21="Moderado"),AND(N21="Muy Alta",R21="Mayor")),"Alto",IF(OR(AND(N21="Muy Baja",R21="Catastrófico"),AND(N21="Baja",R21="Catastrófico"),AND(N21="Media",R21="Catastrófico"),AND(N21="Alta",R21="Catastrófico"),AND(N21="Muy Alta",R21="Catastrófico")),"Extremo",""))))</f>
        <v/>
      </c>
      <c r="U21" s="155">
        <v>1</v>
      </c>
      <c r="V21" s="279"/>
      <c r="W21" s="156" t="str">
        <f>IF(OR(X21="Preventivo",X21="Detectivo"),"Probabilidad",IF(X21="Correctivo","Impacto",""))</f>
        <v/>
      </c>
      <c r="X21" s="157"/>
      <c r="Y21" s="157"/>
      <c r="Z21" s="158" t="str">
        <f>IF(AND(X21="Preventivo",Y21="Automático"),"50%",IF(AND(X21="Preventivo",Y21="Manual"),"40%",IF(AND(X21="Detectivo",Y21="Automático"),"40%",IF(AND(X21="Detectivo",Y21="Manual"),"30%",IF(AND(X21="Correctivo",Y21="Automático"),"35%",IF(AND(X21="Correctivo",Y21="Manual"),"25%",""))))))</f>
        <v/>
      </c>
      <c r="AA21" s="157"/>
      <c r="AB21" s="157"/>
      <c r="AC21" s="157"/>
      <c r="AD21" s="159" t="str">
        <f>IFERROR(IF(W21="Probabilidad",(O21-(+O21*Z21)),IF(W21="Impacto",O21,"")),"")</f>
        <v/>
      </c>
      <c r="AE21" s="160" t="str">
        <f>IFERROR(IF(AD21="","",IF(AD21&lt;=0.2,"Muy Baja",IF(AD21&lt;=0.4,"Baja",IF(AD21&lt;=0.6,"Media",IF(AD21&lt;=0.8,"Alta","Muy Alta"))))),"")</f>
        <v/>
      </c>
      <c r="AF21" s="158" t="str">
        <f>+AD21</f>
        <v/>
      </c>
      <c r="AG21" s="160" t="str">
        <f>IFERROR(IF(AH21="","",IF(AH21&lt;=0.2,"Leve",IF(AH21&lt;=0.4,"Menor",IF(AH21&lt;=0.6,"Moderado",IF(AH21&lt;=0.8,"Mayor","Catastrófico"))))),"")</f>
        <v/>
      </c>
      <c r="AH21" s="158" t="str">
        <f>IFERROR(IF(W21="Impacto",(S21-(+S21*Z21)),IF(W21="Probabilidad",S21,"")),"")</f>
        <v/>
      </c>
      <c r="AI21" s="161" t="str">
        <f>IFERROR(IF(OR(AND(AE21="Muy Baja",AG21="Leve"),AND(AE21="Muy Baja",AG21="Menor"),AND(AE21="Baja",AG21="Leve")),"Bajo",IF(OR(AND(AE21="Muy baja",AG21="Moderado"),AND(AE21="Baja",AG21="Menor"),AND(AE21="Baja",AG21="Moderado"),AND(AE21="Media",AG21="Leve"),AND(AE21="Media",AG21="Menor"),AND(AE21="Media",AG21="Moderado"),AND(AE21="Alta",AG21="Leve"),AND(AE21="Alta",AG21="Menor")),"Moderado",IF(OR(AND(AE21="Muy Baja",AG21="Mayor"),AND(AE21="Baja",AG21="Mayor"),AND(AE21="Media",AG21="Mayor"),AND(AE21="Alta",AG21="Moderado"),AND(AE21="Alta",AG21="Mayor"),AND(AE21="Muy Alta",AG21="Leve"),AND(AE21="Muy Alta",AG21="Menor"),AND(AE21="Muy Alta",AG21="Moderado"),AND(AE21="Muy Alta",AG21="Mayor")),"Alto",IF(OR(AND(AE21="Muy Baja",AG21="Catastrófico"),AND(AE21="Baja",AG21="Catastrófico"),AND(AE21="Media",AG21="Catastrófico"),AND(AE21="Alta",AG21="Catastrófico"),AND(AE21="Muy Alta",AG21="Catastrófico")),"Extremo","")))),"")</f>
        <v/>
      </c>
      <c r="AJ21" s="389"/>
      <c r="AK21" s="162"/>
      <c r="AL21" s="163"/>
      <c r="AM21" s="164"/>
      <c r="AN21" s="164"/>
      <c r="AO21" s="346"/>
      <c r="AP21" s="346"/>
      <c r="AQ21" s="346"/>
      <c r="AR21" s="164"/>
      <c r="AS21" s="163"/>
      <c r="AT21" s="346"/>
      <c r="AU21" s="346"/>
      <c r="AV21" s="367"/>
      <c r="AW21" s="346"/>
      <c r="AX21" s="346"/>
      <c r="AY21" s="349"/>
      <c r="AZ21" s="147"/>
      <c r="BA21" s="147"/>
      <c r="BB21" s="147"/>
      <c r="BC21" s="147"/>
      <c r="BD21" s="147"/>
      <c r="BE21" s="147"/>
      <c r="BF21" s="147"/>
      <c r="BG21" s="147"/>
      <c r="BH21" s="147"/>
      <c r="BI21" s="147"/>
      <c r="BJ21" s="147"/>
      <c r="BK21" s="147"/>
      <c r="BL21" s="147"/>
      <c r="BM21" s="147"/>
      <c r="BN21" s="147"/>
      <c r="BO21" s="147"/>
      <c r="BP21" s="147"/>
    </row>
    <row r="22" spans="1:68" s="118" customFormat="1" ht="48.75" customHeight="1" x14ac:dyDescent="0.2">
      <c r="A22" s="376"/>
      <c r="B22" s="378"/>
      <c r="C22" s="359"/>
      <c r="D22" s="359"/>
      <c r="E22" s="347"/>
      <c r="F22" s="182"/>
      <c r="G22" s="271"/>
      <c r="H22" s="362"/>
      <c r="I22" s="402"/>
      <c r="J22" s="362"/>
      <c r="K22" s="185"/>
      <c r="L22" s="365"/>
      <c r="M22" s="405"/>
      <c r="N22" s="344"/>
      <c r="O22" s="384"/>
      <c r="P22" s="381"/>
      <c r="Q22" s="384">
        <f t="shared" ref="Q22:Q26" si="15">IF(NOT(ISERROR(MATCH(P22,_xlfn.ANCHORARRAY(H33),0))),O35&amp;"Por favor no seleccionar los criterios de impacto",P22)</f>
        <v>0</v>
      </c>
      <c r="R22" s="344"/>
      <c r="S22" s="384"/>
      <c r="T22" s="399"/>
      <c r="U22" s="149">
        <v>2</v>
      </c>
      <c r="V22" s="117"/>
      <c r="W22" s="144" t="str">
        <f>IF(OR(X22="Preventivo",X22="Detectivo"),"Probabilidad",IF(X22="Correctivo","Impacto",""))</f>
        <v/>
      </c>
      <c r="X22" s="141"/>
      <c r="Y22" s="141"/>
      <c r="Z22" s="142" t="str">
        <f t="shared" ref="Z22:Z26" si="16">IF(AND(X22="Preventivo",Y22="Automático"),"50%",IF(AND(X22="Preventivo",Y22="Manual"),"40%",IF(AND(X22="Detectivo",Y22="Automático"),"40%",IF(AND(X22="Detectivo",Y22="Manual"),"30%",IF(AND(X22="Correctivo",Y22="Automático"),"35%",IF(AND(X22="Correctivo",Y22="Manual"),"25%",""))))))</f>
        <v/>
      </c>
      <c r="AA22" s="141"/>
      <c r="AB22" s="141"/>
      <c r="AC22" s="141"/>
      <c r="AD22" s="148" t="str">
        <f>IFERROR(IF(AND(W21="Probabilidad",W22="Probabilidad"),(AF21-(+AF21*Z22)),IF(W22="Probabilidad",(O21-(+O21*Z22)),IF(W22="Impacto",AF21,""))),"")</f>
        <v/>
      </c>
      <c r="AE22" s="150" t="str">
        <f t="shared" si="1"/>
        <v/>
      </c>
      <c r="AF22" s="142" t="str">
        <f t="shared" ref="AF22:AF26" si="17">+AD22</f>
        <v/>
      </c>
      <c r="AG22" s="150" t="str">
        <f t="shared" si="3"/>
        <v/>
      </c>
      <c r="AH22" s="142" t="str">
        <f>IFERROR(IF(AND(W21="Impacto",W22="Impacto"),(AH15-(+AH15*Z22)),IF(W22="Impacto",($S$21-(+$S$21*Z22)),IF(W22="Probabilidad",AH15,""))),"")</f>
        <v/>
      </c>
      <c r="AI22" s="151" t="str">
        <f t="shared" ref="AI22:AI23" si="18">IFERROR(IF(OR(AND(AE22="Muy Baja",AG22="Leve"),AND(AE22="Muy Baja",AG22="Menor"),AND(AE22="Baja",AG22="Leve")),"Bajo",IF(OR(AND(AE22="Muy baja",AG22="Moderado"),AND(AE22="Baja",AG22="Menor"),AND(AE22="Baja",AG22="Moderado"),AND(AE22="Media",AG22="Leve"),AND(AE22="Media",AG22="Menor"),AND(AE22="Media",AG22="Moderado"),AND(AE22="Alta",AG22="Leve"),AND(AE22="Alta",AG22="Menor")),"Moderado",IF(OR(AND(AE22="Muy Baja",AG22="Mayor"),AND(AE22="Baja",AG22="Mayor"),AND(AE22="Media",AG22="Mayor"),AND(AE22="Alta",AG22="Moderado"),AND(AE22="Alta",AG22="Mayor"),AND(AE22="Muy Alta",AG22="Leve"),AND(AE22="Muy Alta",AG22="Menor"),AND(AE22="Muy Alta",AG22="Moderado"),AND(AE22="Muy Alta",AG22="Mayor")),"Alto",IF(OR(AND(AE22="Muy Baja",AG22="Catastrófico"),AND(AE22="Baja",AG22="Catastrófico"),AND(AE22="Media",AG22="Catastrófico"),AND(AE22="Alta",AG22="Catastrófico"),AND(AE22="Muy Alta",AG22="Catastrófico")),"Extremo","")))),"")</f>
        <v/>
      </c>
      <c r="AJ22" s="390"/>
      <c r="AK22" s="146"/>
      <c r="AL22" s="145"/>
      <c r="AM22" s="140"/>
      <c r="AN22" s="140"/>
      <c r="AO22" s="347"/>
      <c r="AP22" s="347"/>
      <c r="AQ22" s="347"/>
      <c r="AR22" s="140"/>
      <c r="AS22" s="145"/>
      <c r="AT22" s="347"/>
      <c r="AU22" s="347"/>
      <c r="AV22" s="347"/>
      <c r="AW22" s="347"/>
      <c r="AX22" s="347"/>
      <c r="AY22" s="350"/>
      <c r="AZ22" s="147"/>
      <c r="BA22" s="147"/>
      <c r="BB22" s="147"/>
      <c r="BC22" s="147"/>
      <c r="BD22" s="147"/>
      <c r="BE22" s="147"/>
      <c r="BF22" s="147"/>
      <c r="BG22" s="147"/>
      <c r="BH22" s="147"/>
      <c r="BI22" s="147"/>
      <c r="BJ22" s="147"/>
      <c r="BK22" s="147"/>
      <c r="BL22" s="147"/>
      <c r="BM22" s="147"/>
      <c r="BN22" s="147"/>
      <c r="BO22" s="147"/>
      <c r="BP22" s="147"/>
    </row>
    <row r="23" spans="1:68" s="118" customFormat="1" ht="48.75" customHeight="1" x14ac:dyDescent="0.2">
      <c r="A23" s="376"/>
      <c r="B23" s="378"/>
      <c r="C23" s="359"/>
      <c r="D23" s="359"/>
      <c r="E23" s="347"/>
      <c r="F23" s="182"/>
      <c r="G23" s="271"/>
      <c r="H23" s="362"/>
      <c r="I23" s="402"/>
      <c r="J23" s="362"/>
      <c r="K23" s="185"/>
      <c r="L23" s="365"/>
      <c r="M23" s="405"/>
      <c r="N23" s="344"/>
      <c r="O23" s="384"/>
      <c r="P23" s="381"/>
      <c r="Q23" s="384">
        <f t="shared" si="15"/>
        <v>0</v>
      </c>
      <c r="R23" s="344"/>
      <c r="S23" s="384"/>
      <c r="T23" s="399"/>
      <c r="U23" s="149">
        <v>3</v>
      </c>
      <c r="V23" s="117"/>
      <c r="W23" s="144" t="str">
        <f>IF(OR(X23="Preventivo",X23="Detectivo"),"Probabilidad",IF(X23="Correctivo","Impacto",""))</f>
        <v/>
      </c>
      <c r="X23" s="141"/>
      <c r="Y23" s="141"/>
      <c r="Z23" s="142" t="str">
        <f t="shared" si="16"/>
        <v/>
      </c>
      <c r="AA23" s="141"/>
      <c r="AB23" s="141"/>
      <c r="AC23" s="141"/>
      <c r="AD23" s="143" t="str">
        <f>IFERROR(IF(AND(W22="Probabilidad",W23="Probabilidad"),(AF22-(+AF22*Z23)),IF(AND(W22="Impacto",W23="Probabilidad"),(AF21-(+AF21*Z23)),IF(W23="Impacto",AF22,""))),"")</f>
        <v/>
      </c>
      <c r="AE23" s="150" t="str">
        <f t="shared" si="1"/>
        <v/>
      </c>
      <c r="AF23" s="142" t="str">
        <f t="shared" si="17"/>
        <v/>
      </c>
      <c r="AG23" s="150" t="str">
        <f t="shared" si="3"/>
        <v/>
      </c>
      <c r="AH23" s="142" t="str">
        <f>IFERROR(IF(AND(W22="Impacto",W23="Impacto"),(AH22-(+AH22*Z23)),IF(AND(W22="Probabilidad",W23="Impacto"),(AH21-(+AH21*Z23)),IF(W23="Probabilidad",AH22,""))),"")</f>
        <v/>
      </c>
      <c r="AI23" s="151" t="str">
        <f t="shared" si="18"/>
        <v/>
      </c>
      <c r="AJ23" s="390"/>
      <c r="AK23" s="146"/>
      <c r="AL23" s="145"/>
      <c r="AM23" s="140"/>
      <c r="AN23" s="140"/>
      <c r="AO23" s="347"/>
      <c r="AP23" s="347"/>
      <c r="AQ23" s="347"/>
      <c r="AR23" s="140"/>
      <c r="AS23" s="145"/>
      <c r="AT23" s="347"/>
      <c r="AU23" s="347"/>
      <c r="AV23" s="347"/>
      <c r="AW23" s="347"/>
      <c r="AX23" s="347"/>
      <c r="AY23" s="350"/>
      <c r="AZ23" s="147"/>
      <c r="BA23" s="147"/>
      <c r="BB23" s="147"/>
      <c r="BC23" s="147"/>
      <c r="BD23" s="147"/>
      <c r="BE23" s="147"/>
      <c r="BF23" s="147"/>
      <c r="BG23" s="147"/>
      <c r="BH23" s="147"/>
      <c r="BI23" s="147"/>
      <c r="BJ23" s="147"/>
      <c r="BK23" s="147"/>
      <c r="BL23" s="147"/>
      <c r="BM23" s="147"/>
      <c r="BN23" s="147"/>
      <c r="BO23" s="147"/>
      <c r="BP23" s="147"/>
    </row>
    <row r="24" spans="1:68" s="118" customFormat="1" ht="48.75" customHeight="1" x14ac:dyDescent="0.2">
      <c r="A24" s="376"/>
      <c r="B24" s="378"/>
      <c r="C24" s="359"/>
      <c r="D24" s="359"/>
      <c r="E24" s="347"/>
      <c r="F24" s="182"/>
      <c r="G24" s="271"/>
      <c r="H24" s="362"/>
      <c r="I24" s="402"/>
      <c r="J24" s="362"/>
      <c r="K24" s="185"/>
      <c r="L24" s="365"/>
      <c r="M24" s="405"/>
      <c r="N24" s="344"/>
      <c r="O24" s="384"/>
      <c r="P24" s="381"/>
      <c r="Q24" s="384">
        <f t="shared" si="15"/>
        <v>0</v>
      </c>
      <c r="R24" s="344"/>
      <c r="S24" s="384"/>
      <c r="T24" s="399"/>
      <c r="U24" s="149">
        <v>4</v>
      </c>
      <c r="V24" s="117"/>
      <c r="W24" s="144" t="str">
        <f t="shared" ref="W24:W26" si="19">IF(OR(X24="Preventivo",X24="Detectivo"),"Probabilidad",IF(X24="Correctivo","Impacto",""))</f>
        <v/>
      </c>
      <c r="X24" s="141"/>
      <c r="Y24" s="141"/>
      <c r="Z24" s="142" t="str">
        <f t="shared" si="16"/>
        <v/>
      </c>
      <c r="AA24" s="141"/>
      <c r="AB24" s="141"/>
      <c r="AC24" s="141"/>
      <c r="AD24" s="143" t="str">
        <f t="shared" ref="AD24:AD26" si="20">IFERROR(IF(AND(W23="Probabilidad",W24="Probabilidad"),(AF23-(+AF23*Z24)),IF(AND(W23="Impacto",W24="Probabilidad"),(AF22-(+AF22*Z24)),IF(W24="Impacto",AF23,""))),"")</f>
        <v/>
      </c>
      <c r="AE24" s="150" t="str">
        <f t="shared" si="1"/>
        <v/>
      </c>
      <c r="AF24" s="142" t="str">
        <f t="shared" si="17"/>
        <v/>
      </c>
      <c r="AG24" s="150" t="str">
        <f t="shared" si="3"/>
        <v/>
      </c>
      <c r="AH24" s="142" t="str">
        <f t="shared" ref="AH24:AH26" si="21">IFERROR(IF(AND(W23="Impacto",W24="Impacto"),(AH23-(+AH23*Z24)),IF(AND(W23="Probabilidad",W24="Impacto"),(AH22-(+AH22*Z24)),IF(W24="Probabilidad",AH23,""))),"")</f>
        <v/>
      </c>
      <c r="AI24" s="151" t="str">
        <f>IFERROR(IF(OR(AND(AE24="Muy Baja",AG24="Leve"),AND(AE24="Muy Baja",AG24="Menor"),AND(AE24="Baja",AG24="Leve")),"Bajo",IF(OR(AND(AE24="Muy baja",AG24="Moderado"),AND(AE24="Baja",AG24="Menor"),AND(AE24="Baja",AG24="Moderado"),AND(AE24="Media",AG24="Leve"),AND(AE24="Media",AG24="Menor"),AND(AE24="Media",AG24="Moderado"),AND(AE24="Alta",AG24="Leve"),AND(AE24="Alta",AG24="Menor")),"Moderado",IF(OR(AND(AE24="Muy Baja",AG24="Mayor"),AND(AE24="Baja",AG24="Mayor"),AND(AE24="Media",AG24="Mayor"),AND(AE24="Alta",AG24="Moderado"),AND(AE24="Alta",AG24="Mayor"),AND(AE24="Muy Alta",AG24="Leve"),AND(AE24="Muy Alta",AG24="Menor"),AND(AE24="Muy Alta",AG24="Moderado"),AND(AE24="Muy Alta",AG24="Mayor")),"Alto",IF(OR(AND(AE24="Muy Baja",AG24="Catastrófico"),AND(AE24="Baja",AG24="Catastrófico"),AND(AE24="Media",AG24="Catastrófico"),AND(AE24="Alta",AG24="Catastrófico"),AND(AE24="Muy Alta",AG24="Catastrófico")),"Extremo","")))),"")</f>
        <v/>
      </c>
      <c r="AJ24" s="390"/>
      <c r="AK24" s="146"/>
      <c r="AL24" s="145"/>
      <c r="AM24" s="140"/>
      <c r="AN24" s="140"/>
      <c r="AO24" s="347"/>
      <c r="AP24" s="347"/>
      <c r="AQ24" s="347"/>
      <c r="AR24" s="140"/>
      <c r="AS24" s="145"/>
      <c r="AT24" s="347"/>
      <c r="AU24" s="347"/>
      <c r="AV24" s="347"/>
      <c r="AW24" s="347"/>
      <c r="AX24" s="347"/>
      <c r="AY24" s="350"/>
      <c r="AZ24" s="147"/>
      <c r="BA24" s="147"/>
      <c r="BB24" s="147"/>
      <c r="BC24" s="147"/>
      <c r="BD24" s="147"/>
      <c r="BE24" s="147"/>
      <c r="BF24" s="147"/>
      <c r="BG24" s="147"/>
      <c r="BH24" s="147"/>
      <c r="BI24" s="147"/>
      <c r="BJ24" s="147"/>
      <c r="BK24" s="147"/>
      <c r="BL24" s="147"/>
      <c r="BM24" s="147"/>
      <c r="BN24" s="147"/>
      <c r="BO24" s="147"/>
      <c r="BP24" s="147"/>
    </row>
    <row r="25" spans="1:68" s="118" customFormat="1" ht="48.75" customHeight="1" x14ac:dyDescent="0.2">
      <c r="A25" s="376"/>
      <c r="B25" s="378"/>
      <c r="C25" s="359"/>
      <c r="D25" s="359"/>
      <c r="E25" s="347"/>
      <c r="F25" s="182"/>
      <c r="G25" s="271"/>
      <c r="H25" s="362"/>
      <c r="I25" s="402"/>
      <c r="J25" s="362"/>
      <c r="K25" s="185"/>
      <c r="L25" s="365"/>
      <c r="M25" s="405"/>
      <c r="N25" s="344"/>
      <c r="O25" s="384"/>
      <c r="P25" s="381"/>
      <c r="Q25" s="384">
        <f t="shared" si="15"/>
        <v>0</v>
      </c>
      <c r="R25" s="344"/>
      <c r="S25" s="384"/>
      <c r="T25" s="399"/>
      <c r="U25" s="149">
        <v>5</v>
      </c>
      <c r="V25" s="117"/>
      <c r="W25" s="144" t="str">
        <f t="shared" si="19"/>
        <v/>
      </c>
      <c r="X25" s="141"/>
      <c r="Y25" s="141"/>
      <c r="Z25" s="142" t="str">
        <f t="shared" si="16"/>
        <v/>
      </c>
      <c r="AA25" s="141"/>
      <c r="AB25" s="141"/>
      <c r="AC25" s="141"/>
      <c r="AD25" s="143" t="str">
        <f t="shared" si="20"/>
        <v/>
      </c>
      <c r="AE25" s="150" t="str">
        <f t="shared" si="1"/>
        <v/>
      </c>
      <c r="AF25" s="142" t="str">
        <f t="shared" si="17"/>
        <v/>
      </c>
      <c r="AG25" s="150" t="str">
        <f t="shared" si="3"/>
        <v/>
      </c>
      <c r="AH25" s="142" t="str">
        <f t="shared" si="21"/>
        <v/>
      </c>
      <c r="AI25" s="151" t="str">
        <f t="shared" ref="AI25:AI26" si="22">IFERROR(IF(OR(AND(AE25="Muy Baja",AG25="Leve"),AND(AE25="Muy Baja",AG25="Menor"),AND(AE25="Baja",AG25="Leve")),"Bajo",IF(OR(AND(AE25="Muy baja",AG25="Moderado"),AND(AE25="Baja",AG25="Menor"),AND(AE25="Baja",AG25="Moderado"),AND(AE25="Media",AG25="Leve"),AND(AE25="Media",AG25="Menor"),AND(AE25="Media",AG25="Moderado"),AND(AE25="Alta",AG25="Leve"),AND(AE25="Alta",AG25="Menor")),"Moderado",IF(OR(AND(AE25="Muy Baja",AG25="Mayor"),AND(AE25="Baja",AG25="Mayor"),AND(AE25="Media",AG25="Mayor"),AND(AE25="Alta",AG25="Moderado"),AND(AE25="Alta",AG25="Mayor"),AND(AE25="Muy Alta",AG25="Leve"),AND(AE25="Muy Alta",AG25="Menor"),AND(AE25="Muy Alta",AG25="Moderado"),AND(AE25="Muy Alta",AG25="Mayor")),"Alto",IF(OR(AND(AE25="Muy Baja",AG25="Catastrófico"),AND(AE25="Baja",AG25="Catastrófico"),AND(AE25="Media",AG25="Catastrófico"),AND(AE25="Alta",AG25="Catastrófico"),AND(AE25="Muy Alta",AG25="Catastrófico")),"Extremo","")))),"")</f>
        <v/>
      </c>
      <c r="AJ25" s="390"/>
      <c r="AK25" s="146"/>
      <c r="AL25" s="145"/>
      <c r="AM25" s="140"/>
      <c r="AN25" s="140"/>
      <c r="AO25" s="347"/>
      <c r="AP25" s="347"/>
      <c r="AQ25" s="347"/>
      <c r="AR25" s="140"/>
      <c r="AS25" s="145"/>
      <c r="AT25" s="347"/>
      <c r="AU25" s="347"/>
      <c r="AV25" s="347"/>
      <c r="AW25" s="347"/>
      <c r="AX25" s="347"/>
      <c r="AY25" s="350"/>
      <c r="AZ25" s="147"/>
      <c r="BA25" s="147"/>
      <c r="BB25" s="147"/>
      <c r="BC25" s="147"/>
      <c r="BD25" s="147"/>
      <c r="BE25" s="147"/>
      <c r="BF25" s="147"/>
      <c r="BG25" s="147"/>
      <c r="BH25" s="147"/>
      <c r="BI25" s="147"/>
      <c r="BJ25" s="147"/>
      <c r="BK25" s="147"/>
      <c r="BL25" s="147"/>
      <c r="BM25" s="147"/>
      <c r="BN25" s="147"/>
      <c r="BO25" s="147"/>
      <c r="BP25" s="147"/>
    </row>
    <row r="26" spans="1:68" s="118" customFormat="1" ht="48.75" customHeight="1" thickBot="1" x14ac:dyDescent="0.25">
      <c r="A26" s="377"/>
      <c r="B26" s="379"/>
      <c r="C26" s="360"/>
      <c r="D26" s="360"/>
      <c r="E26" s="348"/>
      <c r="F26" s="179"/>
      <c r="G26" s="273"/>
      <c r="H26" s="363"/>
      <c r="I26" s="403"/>
      <c r="J26" s="363"/>
      <c r="K26" s="186"/>
      <c r="L26" s="366"/>
      <c r="M26" s="406"/>
      <c r="N26" s="345"/>
      <c r="O26" s="385"/>
      <c r="P26" s="382"/>
      <c r="Q26" s="385">
        <f t="shared" si="15"/>
        <v>0</v>
      </c>
      <c r="R26" s="345"/>
      <c r="S26" s="385"/>
      <c r="T26" s="400"/>
      <c r="U26" s="165">
        <v>6</v>
      </c>
      <c r="V26" s="281"/>
      <c r="W26" s="166" t="str">
        <f t="shared" si="19"/>
        <v/>
      </c>
      <c r="X26" s="167"/>
      <c r="Y26" s="167"/>
      <c r="Z26" s="168" t="str">
        <f t="shared" si="16"/>
        <v/>
      </c>
      <c r="AA26" s="167"/>
      <c r="AB26" s="167"/>
      <c r="AC26" s="167"/>
      <c r="AD26" s="169" t="str">
        <f t="shared" si="20"/>
        <v/>
      </c>
      <c r="AE26" s="170" t="str">
        <f t="shared" si="1"/>
        <v/>
      </c>
      <c r="AF26" s="168" t="str">
        <f t="shared" si="17"/>
        <v/>
      </c>
      <c r="AG26" s="170" t="str">
        <f t="shared" si="3"/>
        <v/>
      </c>
      <c r="AH26" s="168" t="str">
        <f t="shared" si="21"/>
        <v/>
      </c>
      <c r="AI26" s="171" t="str">
        <f t="shared" si="22"/>
        <v/>
      </c>
      <c r="AJ26" s="391"/>
      <c r="AK26" s="172"/>
      <c r="AL26" s="173"/>
      <c r="AM26" s="174"/>
      <c r="AN26" s="174"/>
      <c r="AO26" s="348"/>
      <c r="AP26" s="348"/>
      <c r="AQ26" s="348"/>
      <c r="AR26" s="174"/>
      <c r="AS26" s="173"/>
      <c r="AT26" s="348"/>
      <c r="AU26" s="348"/>
      <c r="AV26" s="348"/>
      <c r="AW26" s="348"/>
      <c r="AX26" s="348"/>
      <c r="AY26" s="351"/>
      <c r="AZ26" s="147"/>
      <c r="BA26" s="147"/>
      <c r="BB26" s="147"/>
      <c r="BC26" s="147"/>
      <c r="BD26" s="147"/>
      <c r="BE26" s="147"/>
      <c r="BF26" s="147"/>
      <c r="BG26" s="147"/>
      <c r="BH26" s="147"/>
      <c r="BI26" s="147"/>
      <c r="BJ26" s="147"/>
      <c r="BK26" s="147"/>
      <c r="BL26" s="147"/>
      <c r="BM26" s="147"/>
      <c r="BN26" s="147"/>
      <c r="BO26" s="147"/>
      <c r="BP26" s="147"/>
    </row>
    <row r="27" spans="1:68" s="118" customFormat="1" ht="48.75" customHeight="1" x14ac:dyDescent="0.2">
      <c r="A27" s="375">
        <v>4</v>
      </c>
      <c r="B27" s="407"/>
      <c r="C27" s="358"/>
      <c r="D27" s="358"/>
      <c r="E27" s="346"/>
      <c r="F27" s="178"/>
      <c r="G27" s="272"/>
      <c r="H27" s="368"/>
      <c r="I27" s="401"/>
      <c r="J27" s="368"/>
      <c r="K27" s="184"/>
      <c r="L27" s="364"/>
      <c r="M27" s="404"/>
      <c r="N27" s="343" t="str">
        <f>IF(M27&lt;=0,"",IF(M27&lt;=2,"Muy Baja",IF(M27&lt;=24,"Baja",IF(M27&lt;=500,"Media",IF(M27&lt;=5000,"Alta","Muy Alta")))))</f>
        <v/>
      </c>
      <c r="O27" s="383" t="str">
        <f>IF(N27="","",IF(N27="Muy Baja",0.2,IF(N27="Baja",0.4,IF(N27="Media",0.6,IF(N27="Alta",0.8,IF(N27="Muy Alta",1,))))))</f>
        <v/>
      </c>
      <c r="P27" s="380"/>
      <c r="Q27" s="383">
        <f>IF(NOT(ISERROR(MATCH(P27,'Tabla Impacto'!$B$221:$B$223,0))),'Tabla Impacto'!$F$223&amp;"Por favor no seleccionar los criterios de impacto(Afectación Económica o presupuestal y Pérdida Reputacional)",P27)</f>
        <v>0</v>
      </c>
      <c r="R27" s="343" t="str">
        <f>IF(OR(Q27='Tabla Impacto'!$C$11,Q27='Tabla Impacto'!$D$11),"Leve",IF(OR(Q27='Tabla Impacto'!$C$12,Q27='Tabla Impacto'!$D$12),"Menor",IF(OR(Q27='Tabla Impacto'!$C$13,Q27='Tabla Impacto'!$D$13),"Moderado",IF(OR(Q27='Tabla Impacto'!$C$14,Q27='Tabla Impacto'!$D$14),"Mayor",IF(OR(Q27='Tabla Impacto'!$C$15,Q27='Tabla Impacto'!$D$15),"Catastrófico","")))))</f>
        <v/>
      </c>
      <c r="S27" s="383" t="str">
        <f>IF(R27="","",IF(R27="Leve",0.2,IF(R27="Menor",0.4,IF(R27="Moderado",0.6,IF(R27="Mayor",0.8,IF(R27="Catastrófico",1,))))))</f>
        <v/>
      </c>
      <c r="T27" s="398" t="str">
        <f>IF(OR(AND(N27="Muy Baja",R27="Leve"),AND(N27="Muy Baja",R27="Menor"),AND(N27="Baja",R27="Leve")),"Bajo",IF(OR(AND(N27="Muy baja",R27="Moderado"),AND(N27="Baja",R27="Menor"),AND(N27="Baja",R27="Moderado"),AND(N27="Media",R27="Leve"),AND(N27="Media",R27="Menor"),AND(N27="Media",R27="Moderado"),AND(N27="Alta",R27="Leve"),AND(N27="Alta",R27="Menor")),"Moderado",IF(OR(AND(N27="Muy Baja",R27="Mayor"),AND(N27="Baja",R27="Mayor"),AND(N27="Media",R27="Mayor"),AND(N27="Alta",R27="Moderado"),AND(N27="Alta",R27="Mayor"),AND(N27="Muy Alta",R27="Leve"),AND(N27="Muy Alta",R27="Menor"),AND(N27="Muy Alta",R27="Moderado"),AND(N27="Muy Alta",R27="Mayor")),"Alto",IF(OR(AND(N27="Muy Baja",R27="Catastrófico"),AND(N27="Baja",R27="Catastrófico"),AND(N27="Media",R27="Catastrófico"),AND(N27="Alta",R27="Catastrófico"),AND(N27="Muy Alta",R27="Catastrófico")),"Extremo",""))))</f>
        <v/>
      </c>
      <c r="U27" s="155">
        <v>1</v>
      </c>
      <c r="V27" s="279"/>
      <c r="W27" s="156" t="str">
        <f>IF(OR(X27="Preventivo",X27="Detectivo"),"Probabilidad",IF(X27="Correctivo","Impacto",""))</f>
        <v/>
      </c>
      <c r="X27" s="157"/>
      <c r="Y27" s="157"/>
      <c r="Z27" s="158" t="str">
        <f>IF(AND(X27="Preventivo",Y27="Automático"),"50%",IF(AND(X27="Preventivo",Y27="Manual"),"40%",IF(AND(X27="Detectivo",Y27="Automático"),"40%",IF(AND(X27="Detectivo",Y27="Manual"),"30%",IF(AND(X27="Correctivo",Y27="Automático"),"35%",IF(AND(X27="Correctivo",Y27="Manual"),"25%",""))))))</f>
        <v/>
      </c>
      <c r="AA27" s="157"/>
      <c r="AB27" s="157"/>
      <c r="AC27" s="157"/>
      <c r="AD27" s="159" t="str">
        <f>IFERROR(IF(W27="Probabilidad",(O27-(+O27*Z27)),IF(W27="Impacto",O27,"")),"")</f>
        <v/>
      </c>
      <c r="AE27" s="160" t="str">
        <f>IFERROR(IF(AD27="","",IF(AD27&lt;=0.2,"Muy Baja",IF(AD27&lt;=0.4,"Baja",IF(AD27&lt;=0.6,"Media",IF(AD27&lt;=0.8,"Alta","Muy Alta"))))),"")</f>
        <v/>
      </c>
      <c r="AF27" s="158" t="str">
        <f>+AD27</f>
        <v/>
      </c>
      <c r="AG27" s="160" t="str">
        <f>IFERROR(IF(AH27="","",IF(AH27&lt;=0.2,"Leve",IF(AH27&lt;=0.4,"Menor",IF(AH27&lt;=0.6,"Moderado",IF(AH27&lt;=0.8,"Mayor","Catastrófico"))))),"")</f>
        <v/>
      </c>
      <c r="AH27" s="158" t="str">
        <f>IFERROR(IF(W27="Impacto",(S27-(+S27*Z27)),IF(W27="Probabilidad",S27,"")),"")</f>
        <v/>
      </c>
      <c r="AI27" s="161" t="str">
        <f>IFERROR(IF(OR(AND(AE27="Muy Baja",AG27="Leve"),AND(AE27="Muy Baja",AG27="Menor"),AND(AE27="Baja",AG27="Leve")),"Bajo",IF(OR(AND(AE27="Muy baja",AG27="Moderado"),AND(AE27="Baja",AG27="Menor"),AND(AE27="Baja",AG27="Moderado"),AND(AE27="Media",AG27="Leve"),AND(AE27="Media",AG27="Menor"),AND(AE27="Media",AG27="Moderado"),AND(AE27="Alta",AG27="Leve"),AND(AE27="Alta",AG27="Menor")),"Moderado",IF(OR(AND(AE27="Muy Baja",AG27="Mayor"),AND(AE27="Baja",AG27="Mayor"),AND(AE27="Media",AG27="Mayor"),AND(AE27="Alta",AG27="Moderado"),AND(AE27="Alta",AG27="Mayor"),AND(AE27="Muy Alta",AG27="Leve"),AND(AE27="Muy Alta",AG27="Menor"),AND(AE27="Muy Alta",AG27="Moderado"),AND(AE27="Muy Alta",AG27="Mayor")),"Alto",IF(OR(AND(AE27="Muy Baja",AG27="Catastrófico"),AND(AE27="Baja",AG27="Catastrófico"),AND(AE27="Media",AG27="Catastrófico"),AND(AE27="Alta",AG27="Catastrófico"),AND(AE27="Muy Alta",AG27="Catastrófico")),"Extremo","")))),"")</f>
        <v/>
      </c>
      <c r="AJ27" s="389"/>
      <c r="AK27" s="162"/>
      <c r="AL27" s="163"/>
      <c r="AM27" s="164"/>
      <c r="AN27" s="164"/>
      <c r="AO27" s="346"/>
      <c r="AP27" s="346"/>
      <c r="AQ27" s="346"/>
      <c r="AR27" s="164"/>
      <c r="AS27" s="163"/>
      <c r="AT27" s="346"/>
      <c r="AU27" s="346"/>
      <c r="AV27" s="367"/>
      <c r="AW27" s="346"/>
      <c r="AX27" s="346"/>
      <c r="AY27" s="349"/>
      <c r="AZ27" s="147"/>
      <c r="BA27" s="147"/>
      <c r="BB27" s="147"/>
      <c r="BC27" s="147"/>
      <c r="BD27" s="147"/>
      <c r="BE27" s="147"/>
      <c r="BF27" s="147"/>
      <c r="BG27" s="147"/>
      <c r="BH27" s="147"/>
      <c r="BI27" s="147"/>
      <c r="BJ27" s="147"/>
      <c r="BK27" s="147"/>
      <c r="BL27" s="147"/>
      <c r="BM27" s="147"/>
      <c r="BN27" s="147"/>
      <c r="BO27" s="147"/>
      <c r="BP27" s="147"/>
    </row>
    <row r="28" spans="1:68" s="118" customFormat="1" ht="48.75" customHeight="1" x14ac:dyDescent="0.2">
      <c r="A28" s="376"/>
      <c r="B28" s="378"/>
      <c r="C28" s="359"/>
      <c r="D28" s="359"/>
      <c r="E28" s="347"/>
      <c r="F28" s="182"/>
      <c r="G28" s="271"/>
      <c r="H28" s="362"/>
      <c r="I28" s="402"/>
      <c r="J28" s="362"/>
      <c r="K28" s="185"/>
      <c r="L28" s="365"/>
      <c r="M28" s="405"/>
      <c r="N28" s="344"/>
      <c r="O28" s="384"/>
      <c r="P28" s="381"/>
      <c r="Q28" s="384">
        <f t="shared" ref="Q28:Q32" si="23">IF(NOT(ISERROR(MATCH(P28,_xlfn.ANCHORARRAY(H39),0))),O41&amp;"Por favor no seleccionar los criterios de impacto",P28)</f>
        <v>0</v>
      </c>
      <c r="R28" s="344"/>
      <c r="S28" s="384"/>
      <c r="T28" s="399"/>
      <c r="U28" s="149">
        <v>2</v>
      </c>
      <c r="V28" s="117"/>
      <c r="W28" s="144" t="str">
        <f>IF(OR(X28="Preventivo",X28="Detectivo"),"Probabilidad",IF(X28="Correctivo","Impacto",""))</f>
        <v/>
      </c>
      <c r="X28" s="141"/>
      <c r="Y28" s="141"/>
      <c r="Z28" s="142" t="str">
        <f t="shared" ref="Z28:Z32" si="24">IF(AND(X28="Preventivo",Y28="Automático"),"50%",IF(AND(X28="Preventivo",Y28="Manual"),"40%",IF(AND(X28="Detectivo",Y28="Automático"),"40%",IF(AND(X28="Detectivo",Y28="Manual"),"30%",IF(AND(X28="Correctivo",Y28="Automático"),"35%",IF(AND(X28="Correctivo",Y28="Manual"),"25%",""))))))</f>
        <v/>
      </c>
      <c r="AA28" s="141"/>
      <c r="AB28" s="141"/>
      <c r="AC28" s="141"/>
      <c r="AD28" s="143" t="str">
        <f>IFERROR(IF(AND(W27="Probabilidad",W28="Probabilidad"),(AF27-(+AF27*Z28)),IF(W28="Probabilidad",(O27-(+O27*Z28)),IF(W28="Impacto",AF27,""))),"")</f>
        <v/>
      </c>
      <c r="AE28" s="150" t="str">
        <f t="shared" si="1"/>
        <v/>
      </c>
      <c r="AF28" s="142" t="str">
        <f t="shared" ref="AF28:AF32" si="25">+AD28</f>
        <v/>
      </c>
      <c r="AG28" s="150" t="str">
        <f t="shared" si="3"/>
        <v/>
      </c>
      <c r="AH28" s="142" t="str">
        <f>IFERROR(IF(AND(W27="Impacto",W28="Impacto"),(AH21-(+AH21*Z28)),IF(W28="Impacto",($S$27-(+$S$27*Z28)),IF(W28="Probabilidad",AH21,""))),"")</f>
        <v/>
      </c>
      <c r="AI28" s="151" t="str">
        <f t="shared" ref="AI28:AI29" si="26">IFERROR(IF(OR(AND(AE28="Muy Baja",AG28="Leve"),AND(AE28="Muy Baja",AG28="Menor"),AND(AE28="Baja",AG28="Leve")),"Bajo",IF(OR(AND(AE28="Muy baja",AG28="Moderado"),AND(AE28="Baja",AG28="Menor"),AND(AE28="Baja",AG28="Moderado"),AND(AE28="Media",AG28="Leve"),AND(AE28="Media",AG28="Menor"),AND(AE28="Media",AG28="Moderado"),AND(AE28="Alta",AG28="Leve"),AND(AE28="Alta",AG28="Menor")),"Moderado",IF(OR(AND(AE28="Muy Baja",AG28="Mayor"),AND(AE28="Baja",AG28="Mayor"),AND(AE28="Media",AG28="Mayor"),AND(AE28="Alta",AG28="Moderado"),AND(AE28="Alta",AG28="Mayor"),AND(AE28="Muy Alta",AG28="Leve"),AND(AE28="Muy Alta",AG28="Menor"),AND(AE28="Muy Alta",AG28="Moderado"),AND(AE28="Muy Alta",AG28="Mayor")),"Alto",IF(OR(AND(AE28="Muy Baja",AG28="Catastrófico"),AND(AE28="Baja",AG28="Catastrófico"),AND(AE28="Media",AG28="Catastrófico"),AND(AE28="Alta",AG28="Catastrófico"),AND(AE28="Muy Alta",AG28="Catastrófico")),"Extremo","")))),"")</f>
        <v/>
      </c>
      <c r="AJ28" s="390"/>
      <c r="AK28" s="146"/>
      <c r="AL28" s="145"/>
      <c r="AM28" s="140"/>
      <c r="AN28" s="140"/>
      <c r="AO28" s="347"/>
      <c r="AP28" s="347"/>
      <c r="AQ28" s="347"/>
      <c r="AR28" s="140"/>
      <c r="AS28" s="145"/>
      <c r="AT28" s="347"/>
      <c r="AU28" s="347"/>
      <c r="AV28" s="347"/>
      <c r="AW28" s="347"/>
      <c r="AX28" s="347"/>
      <c r="AY28" s="350"/>
      <c r="AZ28" s="147"/>
      <c r="BA28" s="147"/>
      <c r="BB28" s="147"/>
      <c r="BC28" s="147"/>
      <c r="BD28" s="147"/>
      <c r="BE28" s="147"/>
      <c r="BF28" s="147"/>
      <c r="BG28" s="147"/>
      <c r="BH28" s="147"/>
      <c r="BI28" s="147"/>
      <c r="BJ28" s="147"/>
      <c r="BK28" s="147"/>
      <c r="BL28" s="147"/>
      <c r="BM28" s="147"/>
      <c r="BN28" s="147"/>
      <c r="BO28" s="147"/>
      <c r="BP28" s="147"/>
    </row>
    <row r="29" spans="1:68" s="118" customFormat="1" ht="48.75" customHeight="1" x14ac:dyDescent="0.2">
      <c r="A29" s="376"/>
      <c r="B29" s="378"/>
      <c r="C29" s="359"/>
      <c r="D29" s="359"/>
      <c r="E29" s="347"/>
      <c r="F29" s="182"/>
      <c r="G29" s="271"/>
      <c r="H29" s="362"/>
      <c r="I29" s="402"/>
      <c r="J29" s="362"/>
      <c r="K29" s="185"/>
      <c r="L29" s="365"/>
      <c r="M29" s="405"/>
      <c r="N29" s="344"/>
      <c r="O29" s="384"/>
      <c r="P29" s="381"/>
      <c r="Q29" s="384">
        <f t="shared" si="23"/>
        <v>0</v>
      </c>
      <c r="R29" s="344"/>
      <c r="S29" s="384"/>
      <c r="T29" s="399"/>
      <c r="U29" s="149">
        <v>3</v>
      </c>
      <c r="V29" s="117"/>
      <c r="W29" s="144" t="str">
        <f>IF(OR(X29="Preventivo",X29="Detectivo"),"Probabilidad",IF(X29="Correctivo","Impacto",""))</f>
        <v/>
      </c>
      <c r="X29" s="141"/>
      <c r="Y29" s="141"/>
      <c r="Z29" s="142" t="str">
        <f t="shared" si="24"/>
        <v/>
      </c>
      <c r="AA29" s="141"/>
      <c r="AB29" s="141"/>
      <c r="AC29" s="141"/>
      <c r="AD29" s="143" t="str">
        <f>IFERROR(IF(AND(W28="Probabilidad",W29="Probabilidad"),(AF28-(+AF28*Z29)),IF(AND(W28="Impacto",W29="Probabilidad"),(AF27-(+AF27*Z29)),IF(W29="Impacto",AF28,""))),"")</f>
        <v/>
      </c>
      <c r="AE29" s="150" t="str">
        <f t="shared" si="1"/>
        <v/>
      </c>
      <c r="AF29" s="142" t="str">
        <f t="shared" si="25"/>
        <v/>
      </c>
      <c r="AG29" s="150" t="str">
        <f t="shared" si="3"/>
        <v/>
      </c>
      <c r="AH29" s="142" t="str">
        <f>IFERROR(IF(AND(W28="Impacto",W29="Impacto"),(AH28-(+AH28*Z29)),IF(AND(W28="Probabilidad",W29="Impacto"),(AH27-(+AH27*Z29)),IF(W29="Probabilidad",AH28,""))),"")</f>
        <v/>
      </c>
      <c r="AI29" s="151" t="str">
        <f t="shared" si="26"/>
        <v/>
      </c>
      <c r="AJ29" s="390"/>
      <c r="AK29" s="146"/>
      <c r="AL29" s="145"/>
      <c r="AM29" s="140"/>
      <c r="AN29" s="140"/>
      <c r="AO29" s="347"/>
      <c r="AP29" s="347"/>
      <c r="AQ29" s="347"/>
      <c r="AR29" s="140"/>
      <c r="AS29" s="145"/>
      <c r="AT29" s="347"/>
      <c r="AU29" s="347"/>
      <c r="AV29" s="347"/>
      <c r="AW29" s="347"/>
      <c r="AX29" s="347"/>
      <c r="AY29" s="350"/>
      <c r="AZ29" s="147"/>
      <c r="BA29" s="147"/>
      <c r="BB29" s="147"/>
      <c r="BC29" s="147"/>
      <c r="BD29" s="147"/>
      <c r="BE29" s="147"/>
      <c r="BF29" s="147"/>
      <c r="BG29" s="147"/>
      <c r="BH29" s="147"/>
      <c r="BI29" s="147"/>
      <c r="BJ29" s="147"/>
      <c r="BK29" s="147"/>
      <c r="BL29" s="147"/>
      <c r="BM29" s="147"/>
      <c r="BN29" s="147"/>
      <c r="BO29" s="147"/>
      <c r="BP29" s="147"/>
    </row>
    <row r="30" spans="1:68" s="118" customFormat="1" ht="48.75" customHeight="1" x14ac:dyDescent="0.2">
      <c r="A30" s="376"/>
      <c r="B30" s="378"/>
      <c r="C30" s="359"/>
      <c r="D30" s="359"/>
      <c r="E30" s="347"/>
      <c r="F30" s="182"/>
      <c r="G30" s="271"/>
      <c r="H30" s="362"/>
      <c r="I30" s="402"/>
      <c r="J30" s="362"/>
      <c r="K30" s="185"/>
      <c r="L30" s="365"/>
      <c r="M30" s="405"/>
      <c r="N30" s="344"/>
      <c r="O30" s="384"/>
      <c r="P30" s="381"/>
      <c r="Q30" s="384">
        <f t="shared" si="23"/>
        <v>0</v>
      </c>
      <c r="R30" s="344"/>
      <c r="S30" s="384"/>
      <c r="T30" s="399"/>
      <c r="U30" s="149">
        <v>4</v>
      </c>
      <c r="V30" s="117"/>
      <c r="W30" s="144" t="str">
        <f t="shared" ref="W30:W32" si="27">IF(OR(X30="Preventivo",X30="Detectivo"),"Probabilidad",IF(X30="Correctivo","Impacto",""))</f>
        <v/>
      </c>
      <c r="X30" s="141"/>
      <c r="Y30" s="141"/>
      <c r="Z30" s="142" t="str">
        <f t="shared" si="24"/>
        <v/>
      </c>
      <c r="AA30" s="141"/>
      <c r="AB30" s="141"/>
      <c r="AC30" s="141"/>
      <c r="AD30" s="143" t="str">
        <f t="shared" ref="AD30:AD32" si="28">IFERROR(IF(AND(W29="Probabilidad",W30="Probabilidad"),(AF29-(+AF29*Z30)),IF(AND(W29="Impacto",W30="Probabilidad"),(AF28-(+AF28*Z30)),IF(W30="Impacto",AF29,""))),"")</f>
        <v/>
      </c>
      <c r="AE30" s="150" t="str">
        <f t="shared" si="1"/>
        <v/>
      </c>
      <c r="AF30" s="142" t="str">
        <f t="shared" si="25"/>
        <v/>
      </c>
      <c r="AG30" s="150" t="str">
        <f t="shared" si="3"/>
        <v/>
      </c>
      <c r="AH30" s="142" t="str">
        <f t="shared" ref="AH30:AH32" si="29">IFERROR(IF(AND(W29="Impacto",W30="Impacto"),(AH29-(+AH29*Z30)),IF(AND(W29="Probabilidad",W30="Impacto"),(AH28-(+AH28*Z30)),IF(W30="Probabilidad",AH29,""))),"")</f>
        <v/>
      </c>
      <c r="AI30" s="151" t="str">
        <f>IFERROR(IF(OR(AND(AE30="Muy Baja",AG30="Leve"),AND(AE30="Muy Baja",AG30="Menor"),AND(AE30="Baja",AG30="Leve")),"Bajo",IF(OR(AND(AE30="Muy baja",AG30="Moderado"),AND(AE30="Baja",AG30="Menor"),AND(AE30="Baja",AG30="Moderado"),AND(AE30="Media",AG30="Leve"),AND(AE30="Media",AG30="Menor"),AND(AE30="Media",AG30="Moderado"),AND(AE30="Alta",AG30="Leve"),AND(AE30="Alta",AG30="Menor")),"Moderado",IF(OR(AND(AE30="Muy Baja",AG30="Mayor"),AND(AE30="Baja",AG30="Mayor"),AND(AE30="Media",AG30="Mayor"),AND(AE30="Alta",AG30="Moderado"),AND(AE30="Alta",AG30="Mayor"),AND(AE30="Muy Alta",AG30="Leve"),AND(AE30="Muy Alta",AG30="Menor"),AND(AE30="Muy Alta",AG30="Moderado"),AND(AE30="Muy Alta",AG30="Mayor")),"Alto",IF(OR(AND(AE30="Muy Baja",AG30="Catastrófico"),AND(AE30="Baja",AG30="Catastrófico"),AND(AE30="Media",AG30="Catastrófico"),AND(AE30="Alta",AG30="Catastrófico"),AND(AE30="Muy Alta",AG30="Catastrófico")),"Extremo","")))),"")</f>
        <v/>
      </c>
      <c r="AJ30" s="390"/>
      <c r="AK30" s="146"/>
      <c r="AL30" s="145"/>
      <c r="AM30" s="140"/>
      <c r="AN30" s="140"/>
      <c r="AO30" s="347"/>
      <c r="AP30" s="347"/>
      <c r="AQ30" s="347"/>
      <c r="AR30" s="140"/>
      <c r="AS30" s="145"/>
      <c r="AT30" s="347"/>
      <c r="AU30" s="347"/>
      <c r="AV30" s="347"/>
      <c r="AW30" s="347"/>
      <c r="AX30" s="347"/>
      <c r="AY30" s="350"/>
      <c r="AZ30" s="147"/>
      <c r="BA30" s="147"/>
      <c r="BB30" s="147"/>
      <c r="BC30" s="147"/>
      <c r="BD30" s="147"/>
      <c r="BE30" s="147"/>
      <c r="BF30" s="147"/>
      <c r="BG30" s="147"/>
      <c r="BH30" s="147"/>
      <c r="BI30" s="147"/>
      <c r="BJ30" s="147"/>
      <c r="BK30" s="147"/>
      <c r="BL30" s="147"/>
      <c r="BM30" s="147"/>
      <c r="BN30" s="147"/>
      <c r="BO30" s="147"/>
      <c r="BP30" s="147"/>
    </row>
    <row r="31" spans="1:68" s="118" customFormat="1" ht="48.75" customHeight="1" x14ac:dyDescent="0.2">
      <c r="A31" s="376"/>
      <c r="B31" s="378"/>
      <c r="C31" s="359"/>
      <c r="D31" s="359"/>
      <c r="E31" s="347"/>
      <c r="F31" s="182"/>
      <c r="G31" s="271"/>
      <c r="H31" s="362"/>
      <c r="I31" s="402"/>
      <c r="J31" s="362"/>
      <c r="K31" s="185"/>
      <c r="L31" s="365"/>
      <c r="M31" s="405"/>
      <c r="N31" s="344"/>
      <c r="O31" s="384"/>
      <c r="P31" s="381"/>
      <c r="Q31" s="384">
        <f t="shared" si="23"/>
        <v>0</v>
      </c>
      <c r="R31" s="344"/>
      <c r="S31" s="384"/>
      <c r="T31" s="399"/>
      <c r="U31" s="149">
        <v>5</v>
      </c>
      <c r="V31" s="117"/>
      <c r="W31" s="144" t="str">
        <f t="shared" si="27"/>
        <v/>
      </c>
      <c r="X31" s="141"/>
      <c r="Y31" s="141"/>
      <c r="Z31" s="142" t="str">
        <f t="shared" si="24"/>
        <v/>
      </c>
      <c r="AA31" s="141"/>
      <c r="AB31" s="141"/>
      <c r="AC31" s="141"/>
      <c r="AD31" s="148" t="str">
        <f t="shared" si="28"/>
        <v/>
      </c>
      <c r="AE31" s="150" t="str">
        <f>IFERROR(IF(AD31="","",IF(AD31&lt;=0.2,"Muy Baja",IF(AD31&lt;=0.4,"Baja",IF(AD31&lt;=0.6,"Media",IF(AD31&lt;=0.8,"Alta","Muy Alta"))))),"")</f>
        <v/>
      </c>
      <c r="AF31" s="142" t="str">
        <f t="shared" si="25"/>
        <v/>
      </c>
      <c r="AG31" s="150" t="str">
        <f t="shared" si="3"/>
        <v/>
      </c>
      <c r="AH31" s="142" t="str">
        <f t="shared" si="29"/>
        <v/>
      </c>
      <c r="AI31" s="151" t="str">
        <f t="shared" ref="AI31:AI32" si="30">IFERROR(IF(OR(AND(AE31="Muy Baja",AG31="Leve"),AND(AE31="Muy Baja",AG31="Menor"),AND(AE31="Baja",AG31="Leve")),"Bajo",IF(OR(AND(AE31="Muy baja",AG31="Moderado"),AND(AE31="Baja",AG31="Menor"),AND(AE31="Baja",AG31="Moderado"),AND(AE31="Media",AG31="Leve"),AND(AE31="Media",AG31="Menor"),AND(AE31="Media",AG31="Moderado"),AND(AE31="Alta",AG31="Leve"),AND(AE31="Alta",AG31="Menor")),"Moderado",IF(OR(AND(AE31="Muy Baja",AG31="Mayor"),AND(AE31="Baja",AG31="Mayor"),AND(AE31="Media",AG31="Mayor"),AND(AE31="Alta",AG31="Moderado"),AND(AE31="Alta",AG31="Mayor"),AND(AE31="Muy Alta",AG31="Leve"),AND(AE31="Muy Alta",AG31="Menor"),AND(AE31="Muy Alta",AG31="Moderado"),AND(AE31="Muy Alta",AG31="Mayor")),"Alto",IF(OR(AND(AE31="Muy Baja",AG31="Catastrófico"),AND(AE31="Baja",AG31="Catastrófico"),AND(AE31="Media",AG31="Catastrófico"),AND(AE31="Alta",AG31="Catastrófico"),AND(AE31="Muy Alta",AG31="Catastrófico")),"Extremo","")))),"")</f>
        <v/>
      </c>
      <c r="AJ31" s="390"/>
      <c r="AK31" s="146"/>
      <c r="AL31" s="145"/>
      <c r="AM31" s="140"/>
      <c r="AN31" s="140"/>
      <c r="AO31" s="347"/>
      <c r="AP31" s="347"/>
      <c r="AQ31" s="347"/>
      <c r="AR31" s="140"/>
      <c r="AS31" s="145"/>
      <c r="AT31" s="347"/>
      <c r="AU31" s="347"/>
      <c r="AV31" s="347"/>
      <c r="AW31" s="347"/>
      <c r="AX31" s="347"/>
      <c r="AY31" s="350"/>
      <c r="AZ31" s="147"/>
      <c r="BA31" s="147"/>
      <c r="BB31" s="147"/>
      <c r="BC31" s="147"/>
      <c r="BD31" s="147"/>
      <c r="BE31" s="147"/>
      <c r="BF31" s="147"/>
      <c r="BG31" s="147"/>
      <c r="BH31" s="147"/>
      <c r="BI31" s="147"/>
      <c r="BJ31" s="147"/>
      <c r="BK31" s="147"/>
      <c r="BL31" s="147"/>
      <c r="BM31" s="147"/>
      <c r="BN31" s="147"/>
      <c r="BO31" s="147"/>
      <c r="BP31" s="147"/>
    </row>
    <row r="32" spans="1:68" s="118" customFormat="1" ht="48.75" customHeight="1" thickBot="1" x14ac:dyDescent="0.25">
      <c r="A32" s="377"/>
      <c r="B32" s="379"/>
      <c r="C32" s="360"/>
      <c r="D32" s="360"/>
      <c r="E32" s="348"/>
      <c r="F32" s="179"/>
      <c r="G32" s="273"/>
      <c r="H32" s="363"/>
      <c r="I32" s="403"/>
      <c r="J32" s="363"/>
      <c r="K32" s="186"/>
      <c r="L32" s="366"/>
      <c r="M32" s="406"/>
      <c r="N32" s="345"/>
      <c r="O32" s="385"/>
      <c r="P32" s="382"/>
      <c r="Q32" s="385">
        <f t="shared" si="23"/>
        <v>0</v>
      </c>
      <c r="R32" s="345"/>
      <c r="S32" s="385"/>
      <c r="T32" s="400"/>
      <c r="U32" s="165">
        <v>6</v>
      </c>
      <c r="V32" s="281"/>
      <c r="W32" s="166" t="str">
        <f t="shared" si="27"/>
        <v/>
      </c>
      <c r="X32" s="167"/>
      <c r="Y32" s="167"/>
      <c r="Z32" s="168" t="str">
        <f t="shared" si="24"/>
        <v/>
      </c>
      <c r="AA32" s="167"/>
      <c r="AB32" s="167"/>
      <c r="AC32" s="167"/>
      <c r="AD32" s="169" t="str">
        <f t="shared" si="28"/>
        <v/>
      </c>
      <c r="AE32" s="170" t="str">
        <f t="shared" si="1"/>
        <v/>
      </c>
      <c r="AF32" s="168" t="str">
        <f t="shared" si="25"/>
        <v/>
      </c>
      <c r="AG32" s="170" t="str">
        <f t="shared" si="3"/>
        <v/>
      </c>
      <c r="AH32" s="168" t="str">
        <f t="shared" si="29"/>
        <v/>
      </c>
      <c r="AI32" s="171" t="str">
        <f t="shared" si="30"/>
        <v/>
      </c>
      <c r="AJ32" s="391"/>
      <c r="AK32" s="172"/>
      <c r="AL32" s="173"/>
      <c r="AM32" s="174"/>
      <c r="AN32" s="174"/>
      <c r="AO32" s="348"/>
      <c r="AP32" s="348"/>
      <c r="AQ32" s="348"/>
      <c r="AR32" s="174"/>
      <c r="AS32" s="173"/>
      <c r="AT32" s="348"/>
      <c r="AU32" s="348"/>
      <c r="AV32" s="348"/>
      <c r="AW32" s="348"/>
      <c r="AX32" s="348"/>
      <c r="AY32" s="351"/>
      <c r="AZ32" s="147"/>
      <c r="BA32" s="147"/>
      <c r="BB32" s="147"/>
      <c r="BC32" s="147"/>
      <c r="BD32" s="147"/>
      <c r="BE32" s="147"/>
      <c r="BF32" s="147"/>
      <c r="BG32" s="147"/>
      <c r="BH32" s="147"/>
      <c r="BI32" s="147"/>
      <c r="BJ32" s="147"/>
      <c r="BK32" s="147"/>
      <c r="BL32" s="147"/>
      <c r="BM32" s="147"/>
      <c r="BN32" s="147"/>
      <c r="BO32" s="147"/>
      <c r="BP32" s="147"/>
    </row>
    <row r="33" spans="1:68" s="118" customFormat="1" ht="48.75" customHeight="1" x14ac:dyDescent="0.2">
      <c r="A33" s="375">
        <v>5</v>
      </c>
      <c r="B33" s="407"/>
      <c r="C33" s="358"/>
      <c r="D33" s="358"/>
      <c r="E33" s="346"/>
      <c r="F33" s="178"/>
      <c r="G33" s="272"/>
      <c r="H33" s="368"/>
      <c r="I33" s="401"/>
      <c r="J33" s="368"/>
      <c r="K33" s="184"/>
      <c r="L33" s="364"/>
      <c r="M33" s="404"/>
      <c r="N33" s="343" t="str">
        <f>IF(M33&lt;=0,"",IF(M33&lt;=2,"Muy Baja",IF(M33&lt;=24,"Baja",IF(M33&lt;=500,"Media",IF(M33&lt;=5000,"Alta","Muy Alta")))))</f>
        <v/>
      </c>
      <c r="O33" s="383" t="str">
        <f>IF(N33="","",IF(N33="Muy Baja",0.2,IF(N33="Baja",0.4,IF(N33="Media",0.6,IF(N33="Alta",0.8,IF(N33="Muy Alta",1,))))))</f>
        <v/>
      </c>
      <c r="P33" s="380"/>
      <c r="Q33" s="383">
        <f>IF(NOT(ISERROR(MATCH(P33,'Tabla Impacto'!$B$221:$B$223,0))),'Tabla Impacto'!$F$223&amp;"Por favor no seleccionar los criterios de impacto(Afectación Económica o presupuestal y Pérdida Reputacional)",P33)</f>
        <v>0</v>
      </c>
      <c r="R33" s="343" t="str">
        <f>IF(OR(Q33='Tabla Impacto'!$C$11,Q33='Tabla Impacto'!$D$11),"Leve",IF(OR(Q33='Tabla Impacto'!$C$12,Q33='Tabla Impacto'!$D$12),"Menor",IF(OR(Q33='Tabla Impacto'!$C$13,Q33='Tabla Impacto'!$D$13),"Moderado",IF(OR(Q33='Tabla Impacto'!$C$14,Q33='Tabla Impacto'!$D$14),"Mayor",IF(OR(Q33='Tabla Impacto'!$C$15,Q33='Tabla Impacto'!$D$15),"Catastrófico","")))))</f>
        <v/>
      </c>
      <c r="S33" s="383" t="str">
        <f>IF(R33="","",IF(R33="Leve",0.2,IF(R33="Menor",0.4,IF(R33="Moderado",0.6,IF(R33="Mayor",0.8,IF(R33="Catastrófico",1,))))))</f>
        <v/>
      </c>
      <c r="T33" s="398" t="str">
        <f>IF(OR(AND(N33="Muy Baja",R33="Leve"),AND(N33="Muy Baja",R33="Menor"),AND(N33="Baja",R33="Leve")),"Bajo",IF(OR(AND(N33="Muy baja",R33="Moderado"),AND(N33="Baja",R33="Menor"),AND(N33="Baja",R33="Moderado"),AND(N33="Media",R33="Leve"),AND(N33="Media",R33="Menor"),AND(N33="Media",R33="Moderado"),AND(N33="Alta",R33="Leve"),AND(N33="Alta",R33="Menor")),"Moderado",IF(OR(AND(N33="Muy Baja",R33="Mayor"),AND(N33="Baja",R33="Mayor"),AND(N33="Media",R33="Mayor"),AND(N33="Alta",R33="Moderado"),AND(N33="Alta",R33="Mayor"),AND(N33="Muy Alta",R33="Leve"),AND(N33="Muy Alta",R33="Menor"),AND(N33="Muy Alta",R33="Moderado"),AND(N33="Muy Alta",R33="Mayor")),"Alto",IF(OR(AND(N33="Muy Baja",R33="Catastrófico"),AND(N33="Baja",R33="Catastrófico"),AND(N33="Media",R33="Catastrófico"),AND(N33="Alta",R33="Catastrófico"),AND(N33="Muy Alta",R33="Catastrófico")),"Extremo",""))))</f>
        <v/>
      </c>
      <c r="U33" s="155">
        <v>1</v>
      </c>
      <c r="V33" s="279"/>
      <c r="W33" s="156" t="str">
        <f>IF(OR(X33="Preventivo",X33="Detectivo"),"Probabilidad",IF(X33="Correctivo","Impacto",""))</f>
        <v/>
      </c>
      <c r="X33" s="157"/>
      <c r="Y33" s="157"/>
      <c r="Z33" s="158" t="str">
        <f>IF(AND(X33="Preventivo",Y33="Automático"),"50%",IF(AND(X33="Preventivo",Y33="Manual"),"40%",IF(AND(X33="Detectivo",Y33="Automático"),"40%",IF(AND(X33="Detectivo",Y33="Manual"),"30%",IF(AND(X33="Correctivo",Y33="Automático"),"35%",IF(AND(X33="Correctivo",Y33="Manual"),"25%",""))))))</f>
        <v/>
      </c>
      <c r="AA33" s="157"/>
      <c r="AB33" s="157"/>
      <c r="AC33" s="157"/>
      <c r="AD33" s="159" t="str">
        <f>IFERROR(IF(W33="Probabilidad",(O33-(+O33*Z33)),IF(W33="Impacto",O33,"")),"")</f>
        <v/>
      </c>
      <c r="AE33" s="160" t="str">
        <f>IFERROR(IF(AD33="","",IF(AD33&lt;=0.2,"Muy Baja",IF(AD33&lt;=0.4,"Baja",IF(AD33&lt;=0.6,"Media",IF(AD33&lt;=0.8,"Alta","Muy Alta"))))),"")</f>
        <v/>
      </c>
      <c r="AF33" s="158" t="str">
        <f>+AD33</f>
        <v/>
      </c>
      <c r="AG33" s="160" t="str">
        <f>IFERROR(IF(AH33="","",IF(AH33&lt;=0.2,"Leve",IF(AH33&lt;=0.4,"Menor",IF(AH33&lt;=0.6,"Moderado",IF(AH33&lt;=0.8,"Mayor","Catastrófico"))))),"")</f>
        <v/>
      </c>
      <c r="AH33" s="158" t="str">
        <f>IFERROR(IF(W33="Impacto",(S33-(+S33*Z33)),IF(W33="Probabilidad",S33,"")),"")</f>
        <v/>
      </c>
      <c r="AI33" s="161" t="str">
        <f>IFERROR(IF(OR(AND(AE33="Muy Baja",AG33="Leve"),AND(AE33="Muy Baja",AG33="Menor"),AND(AE33="Baja",AG33="Leve")),"Bajo",IF(OR(AND(AE33="Muy baja",AG33="Moderado"),AND(AE33="Baja",AG33="Menor"),AND(AE33="Baja",AG33="Moderado"),AND(AE33="Media",AG33="Leve"),AND(AE33="Media",AG33="Menor"),AND(AE33="Media",AG33="Moderado"),AND(AE33="Alta",AG33="Leve"),AND(AE33="Alta",AG33="Menor")),"Moderado",IF(OR(AND(AE33="Muy Baja",AG33="Mayor"),AND(AE33="Baja",AG33="Mayor"),AND(AE33="Media",AG33="Mayor"),AND(AE33="Alta",AG33="Moderado"),AND(AE33="Alta",AG33="Mayor"),AND(AE33="Muy Alta",AG33="Leve"),AND(AE33="Muy Alta",AG33="Menor"),AND(AE33="Muy Alta",AG33="Moderado"),AND(AE33="Muy Alta",AG33="Mayor")),"Alto",IF(OR(AND(AE33="Muy Baja",AG33="Catastrófico"),AND(AE33="Baja",AG33="Catastrófico"),AND(AE33="Media",AG33="Catastrófico"),AND(AE33="Alta",AG33="Catastrófico"),AND(AE33="Muy Alta",AG33="Catastrófico")),"Extremo","")))),"")</f>
        <v/>
      </c>
      <c r="AJ33" s="389"/>
      <c r="AK33" s="162"/>
      <c r="AL33" s="163"/>
      <c r="AM33" s="164"/>
      <c r="AN33" s="164"/>
      <c r="AO33" s="346"/>
      <c r="AP33" s="346"/>
      <c r="AQ33" s="346"/>
      <c r="AR33" s="164"/>
      <c r="AS33" s="163"/>
      <c r="AT33" s="346"/>
      <c r="AU33" s="346"/>
      <c r="AV33" s="367"/>
      <c r="AW33" s="346"/>
      <c r="AX33" s="346"/>
      <c r="AY33" s="349"/>
      <c r="AZ33" s="147"/>
      <c r="BA33" s="147"/>
      <c r="BB33" s="147"/>
      <c r="BC33" s="147"/>
      <c r="BD33" s="147"/>
      <c r="BE33" s="147"/>
      <c r="BF33" s="147"/>
      <c r="BG33" s="147"/>
      <c r="BH33" s="147"/>
      <c r="BI33" s="147"/>
      <c r="BJ33" s="147"/>
      <c r="BK33" s="147"/>
      <c r="BL33" s="147"/>
      <c r="BM33" s="147"/>
      <c r="BN33" s="147"/>
      <c r="BO33" s="147"/>
      <c r="BP33" s="147"/>
    </row>
    <row r="34" spans="1:68" s="118" customFormat="1" ht="48.75" customHeight="1" x14ac:dyDescent="0.2">
      <c r="A34" s="376"/>
      <c r="B34" s="378"/>
      <c r="C34" s="359"/>
      <c r="D34" s="359"/>
      <c r="E34" s="347"/>
      <c r="F34" s="182"/>
      <c r="G34" s="271"/>
      <c r="H34" s="362"/>
      <c r="I34" s="402"/>
      <c r="J34" s="362"/>
      <c r="K34" s="185"/>
      <c r="L34" s="365"/>
      <c r="M34" s="405"/>
      <c r="N34" s="344"/>
      <c r="O34" s="384"/>
      <c r="P34" s="381"/>
      <c r="Q34" s="384">
        <f t="shared" ref="Q34:Q38" si="31">IF(NOT(ISERROR(MATCH(P34,_xlfn.ANCHORARRAY(H45),0))),O47&amp;"Por favor no seleccionar los criterios de impacto",P34)</f>
        <v>0</v>
      </c>
      <c r="R34" s="344"/>
      <c r="S34" s="384"/>
      <c r="T34" s="399"/>
      <c r="U34" s="149">
        <v>2</v>
      </c>
      <c r="V34" s="117"/>
      <c r="W34" s="144" t="str">
        <f>IF(OR(X34="Preventivo",X34="Detectivo"),"Probabilidad",IF(X34="Correctivo","Impacto",""))</f>
        <v/>
      </c>
      <c r="X34" s="141"/>
      <c r="Y34" s="141"/>
      <c r="Z34" s="142" t="str">
        <f t="shared" ref="Z34:Z38" si="32">IF(AND(X34="Preventivo",Y34="Automático"),"50%",IF(AND(X34="Preventivo",Y34="Manual"),"40%",IF(AND(X34="Detectivo",Y34="Automático"),"40%",IF(AND(X34="Detectivo",Y34="Manual"),"30%",IF(AND(X34="Correctivo",Y34="Automático"),"35%",IF(AND(X34="Correctivo",Y34="Manual"),"25%",""))))))</f>
        <v/>
      </c>
      <c r="AA34" s="141"/>
      <c r="AB34" s="141"/>
      <c r="AC34" s="141"/>
      <c r="AD34" s="143" t="str">
        <f>IFERROR(IF(AND(W33="Probabilidad",W34="Probabilidad"),(AF33-(+AF33*Z34)),IF(W34="Probabilidad",(O33-(+O33*Z34)),IF(W34="Impacto",AF33,""))),"")</f>
        <v/>
      </c>
      <c r="AE34" s="150" t="str">
        <f t="shared" si="1"/>
        <v/>
      </c>
      <c r="AF34" s="142" t="str">
        <f t="shared" ref="AF34:AF38" si="33">+AD34</f>
        <v/>
      </c>
      <c r="AG34" s="150" t="str">
        <f t="shared" si="3"/>
        <v/>
      </c>
      <c r="AH34" s="142" t="str">
        <f>IFERROR(IF(AND(W33="Impacto",W34="Impacto"),(AH27-(+AH27*Z34)),IF(W34="Impacto",($S$33-(+$S$33*Z34)),IF(W34="Probabilidad",AH27,""))),"")</f>
        <v/>
      </c>
      <c r="AI34" s="151" t="str">
        <f t="shared" ref="AI34:AI35" si="34">IFERROR(IF(OR(AND(AE34="Muy Baja",AG34="Leve"),AND(AE34="Muy Baja",AG34="Menor"),AND(AE34="Baja",AG34="Leve")),"Bajo",IF(OR(AND(AE34="Muy baja",AG34="Moderado"),AND(AE34="Baja",AG34="Menor"),AND(AE34="Baja",AG34="Moderado"),AND(AE34="Media",AG34="Leve"),AND(AE34="Media",AG34="Menor"),AND(AE34="Media",AG34="Moderado"),AND(AE34="Alta",AG34="Leve"),AND(AE34="Alta",AG34="Menor")),"Moderado",IF(OR(AND(AE34="Muy Baja",AG34="Mayor"),AND(AE34="Baja",AG34="Mayor"),AND(AE34="Media",AG34="Mayor"),AND(AE34="Alta",AG34="Moderado"),AND(AE34="Alta",AG34="Mayor"),AND(AE34="Muy Alta",AG34="Leve"),AND(AE34="Muy Alta",AG34="Menor"),AND(AE34="Muy Alta",AG34="Moderado"),AND(AE34="Muy Alta",AG34="Mayor")),"Alto",IF(OR(AND(AE34="Muy Baja",AG34="Catastrófico"),AND(AE34="Baja",AG34="Catastrófico"),AND(AE34="Media",AG34="Catastrófico"),AND(AE34="Alta",AG34="Catastrófico"),AND(AE34="Muy Alta",AG34="Catastrófico")),"Extremo","")))),"")</f>
        <v/>
      </c>
      <c r="AJ34" s="390"/>
      <c r="AK34" s="146"/>
      <c r="AL34" s="145"/>
      <c r="AM34" s="140"/>
      <c r="AN34" s="140"/>
      <c r="AO34" s="347"/>
      <c r="AP34" s="347"/>
      <c r="AQ34" s="347"/>
      <c r="AR34" s="140"/>
      <c r="AS34" s="145"/>
      <c r="AT34" s="347"/>
      <c r="AU34" s="347"/>
      <c r="AV34" s="347"/>
      <c r="AW34" s="347"/>
      <c r="AX34" s="347"/>
      <c r="AY34" s="350"/>
      <c r="AZ34" s="147"/>
      <c r="BA34" s="147"/>
      <c r="BB34" s="147"/>
      <c r="BC34" s="147"/>
      <c r="BD34" s="147"/>
      <c r="BE34" s="147"/>
      <c r="BF34" s="147"/>
      <c r="BG34" s="147"/>
      <c r="BH34" s="147"/>
      <c r="BI34" s="147"/>
      <c r="BJ34" s="147"/>
      <c r="BK34" s="147"/>
      <c r="BL34" s="147"/>
      <c r="BM34" s="147"/>
      <c r="BN34" s="147"/>
      <c r="BO34" s="147"/>
      <c r="BP34" s="147"/>
    </row>
    <row r="35" spans="1:68" s="118" customFormat="1" ht="48.75" customHeight="1" x14ac:dyDescent="0.2">
      <c r="A35" s="376"/>
      <c r="B35" s="378"/>
      <c r="C35" s="359"/>
      <c r="D35" s="359"/>
      <c r="E35" s="347"/>
      <c r="F35" s="182"/>
      <c r="G35" s="271"/>
      <c r="H35" s="362"/>
      <c r="I35" s="402"/>
      <c r="J35" s="362"/>
      <c r="K35" s="185"/>
      <c r="L35" s="365"/>
      <c r="M35" s="405"/>
      <c r="N35" s="344"/>
      <c r="O35" s="384"/>
      <c r="P35" s="381"/>
      <c r="Q35" s="384">
        <f t="shared" si="31"/>
        <v>0</v>
      </c>
      <c r="R35" s="344"/>
      <c r="S35" s="384"/>
      <c r="T35" s="399"/>
      <c r="U35" s="149">
        <v>3</v>
      </c>
      <c r="V35" s="117"/>
      <c r="W35" s="144" t="str">
        <f>IF(OR(X35="Preventivo",X35="Detectivo"),"Probabilidad",IF(X35="Correctivo","Impacto",""))</f>
        <v/>
      </c>
      <c r="X35" s="141"/>
      <c r="Y35" s="141"/>
      <c r="Z35" s="142" t="str">
        <f t="shared" si="32"/>
        <v/>
      </c>
      <c r="AA35" s="141"/>
      <c r="AB35" s="141"/>
      <c r="AC35" s="141"/>
      <c r="AD35" s="143" t="str">
        <f>IFERROR(IF(AND(W34="Probabilidad",W35="Probabilidad"),(AF34-(+AF34*Z35)),IF(AND(W34="Impacto",W35="Probabilidad"),(AF33-(+AF33*Z35)),IF(W35="Impacto",AF34,""))),"")</f>
        <v/>
      </c>
      <c r="AE35" s="150" t="str">
        <f t="shared" si="1"/>
        <v/>
      </c>
      <c r="AF35" s="142" t="str">
        <f t="shared" si="33"/>
        <v/>
      </c>
      <c r="AG35" s="150" t="str">
        <f t="shared" si="3"/>
        <v/>
      </c>
      <c r="AH35" s="142" t="str">
        <f>IFERROR(IF(AND(W34="Impacto",W35="Impacto"),(AH34-(+AH34*Z35)),IF(AND(W34="Probabilidad",W35="Impacto"),(AH33-(+AH33*Z35)),IF(W35="Probabilidad",AH34,""))),"")</f>
        <v/>
      </c>
      <c r="AI35" s="151" t="str">
        <f t="shared" si="34"/>
        <v/>
      </c>
      <c r="AJ35" s="390"/>
      <c r="AK35" s="146"/>
      <c r="AL35" s="145"/>
      <c r="AM35" s="140"/>
      <c r="AN35" s="140"/>
      <c r="AO35" s="347"/>
      <c r="AP35" s="347"/>
      <c r="AQ35" s="347"/>
      <c r="AR35" s="140"/>
      <c r="AS35" s="145"/>
      <c r="AT35" s="347"/>
      <c r="AU35" s="347"/>
      <c r="AV35" s="347"/>
      <c r="AW35" s="347"/>
      <c r="AX35" s="347"/>
      <c r="AY35" s="350"/>
      <c r="AZ35" s="147"/>
      <c r="BA35" s="147"/>
      <c r="BB35" s="147"/>
      <c r="BC35" s="147"/>
      <c r="BD35" s="147"/>
      <c r="BE35" s="147"/>
      <c r="BF35" s="147"/>
      <c r="BG35" s="147"/>
      <c r="BH35" s="147"/>
      <c r="BI35" s="147"/>
      <c r="BJ35" s="147"/>
      <c r="BK35" s="147"/>
      <c r="BL35" s="147"/>
      <c r="BM35" s="147"/>
      <c r="BN35" s="147"/>
      <c r="BO35" s="147"/>
      <c r="BP35" s="147"/>
    </row>
    <row r="36" spans="1:68" s="118" customFormat="1" ht="48.75" customHeight="1" x14ac:dyDescent="0.2">
      <c r="A36" s="376"/>
      <c r="B36" s="378"/>
      <c r="C36" s="359"/>
      <c r="D36" s="359"/>
      <c r="E36" s="347"/>
      <c r="F36" s="182"/>
      <c r="G36" s="271"/>
      <c r="H36" s="362"/>
      <c r="I36" s="402"/>
      <c r="J36" s="362"/>
      <c r="K36" s="185"/>
      <c r="L36" s="365"/>
      <c r="M36" s="405"/>
      <c r="N36" s="344"/>
      <c r="O36" s="384"/>
      <c r="P36" s="381"/>
      <c r="Q36" s="384">
        <f t="shared" si="31"/>
        <v>0</v>
      </c>
      <c r="R36" s="344"/>
      <c r="S36" s="384"/>
      <c r="T36" s="399"/>
      <c r="U36" s="149">
        <v>4</v>
      </c>
      <c r="V36" s="117"/>
      <c r="W36" s="144" t="str">
        <f t="shared" ref="W36:W38" si="35">IF(OR(X36="Preventivo",X36="Detectivo"),"Probabilidad",IF(X36="Correctivo","Impacto",""))</f>
        <v/>
      </c>
      <c r="X36" s="141"/>
      <c r="Y36" s="141"/>
      <c r="Z36" s="142" t="str">
        <f t="shared" si="32"/>
        <v/>
      </c>
      <c r="AA36" s="141"/>
      <c r="AB36" s="141"/>
      <c r="AC36" s="141"/>
      <c r="AD36" s="143" t="str">
        <f t="shared" ref="AD36:AD38" si="36">IFERROR(IF(AND(W35="Probabilidad",W36="Probabilidad"),(AF35-(+AF35*Z36)),IF(AND(W35="Impacto",W36="Probabilidad"),(AF34-(+AF34*Z36)),IF(W36="Impacto",AF35,""))),"")</f>
        <v/>
      </c>
      <c r="AE36" s="150" t="str">
        <f t="shared" si="1"/>
        <v/>
      </c>
      <c r="AF36" s="142" t="str">
        <f t="shared" si="33"/>
        <v/>
      </c>
      <c r="AG36" s="150" t="str">
        <f t="shared" si="3"/>
        <v/>
      </c>
      <c r="AH36" s="142" t="str">
        <f t="shared" ref="AH36:AH38" si="37">IFERROR(IF(AND(W35="Impacto",W36="Impacto"),(AH35-(+AH35*Z36)),IF(AND(W35="Probabilidad",W36="Impacto"),(AH34-(+AH34*Z36)),IF(W36="Probabilidad",AH35,""))),"")</f>
        <v/>
      </c>
      <c r="AI36" s="151" t="str">
        <f>IFERROR(IF(OR(AND(AE36="Muy Baja",AG36="Leve"),AND(AE36="Muy Baja",AG36="Menor"),AND(AE36="Baja",AG36="Leve")),"Bajo",IF(OR(AND(AE36="Muy baja",AG36="Moderado"),AND(AE36="Baja",AG36="Menor"),AND(AE36="Baja",AG36="Moderado"),AND(AE36="Media",AG36="Leve"),AND(AE36="Media",AG36="Menor"),AND(AE36="Media",AG36="Moderado"),AND(AE36="Alta",AG36="Leve"),AND(AE36="Alta",AG36="Menor")),"Moderado",IF(OR(AND(AE36="Muy Baja",AG36="Mayor"),AND(AE36="Baja",AG36="Mayor"),AND(AE36="Media",AG36="Mayor"),AND(AE36="Alta",AG36="Moderado"),AND(AE36="Alta",AG36="Mayor"),AND(AE36="Muy Alta",AG36="Leve"),AND(AE36="Muy Alta",AG36="Menor"),AND(AE36="Muy Alta",AG36="Moderado"),AND(AE36="Muy Alta",AG36="Mayor")),"Alto",IF(OR(AND(AE36="Muy Baja",AG36="Catastrófico"),AND(AE36="Baja",AG36="Catastrófico"),AND(AE36="Media",AG36="Catastrófico"),AND(AE36="Alta",AG36="Catastrófico"),AND(AE36="Muy Alta",AG36="Catastrófico")),"Extremo","")))),"")</f>
        <v/>
      </c>
      <c r="AJ36" s="390"/>
      <c r="AK36" s="146"/>
      <c r="AL36" s="145"/>
      <c r="AM36" s="140"/>
      <c r="AN36" s="140"/>
      <c r="AO36" s="347"/>
      <c r="AP36" s="347"/>
      <c r="AQ36" s="347"/>
      <c r="AR36" s="140"/>
      <c r="AS36" s="145"/>
      <c r="AT36" s="347"/>
      <c r="AU36" s="347"/>
      <c r="AV36" s="347"/>
      <c r="AW36" s="347"/>
      <c r="AX36" s="347"/>
      <c r="AY36" s="350"/>
      <c r="AZ36" s="147"/>
      <c r="BA36" s="147"/>
      <c r="BB36" s="147"/>
      <c r="BC36" s="147"/>
      <c r="BD36" s="147"/>
      <c r="BE36" s="147"/>
      <c r="BF36" s="147"/>
      <c r="BG36" s="147"/>
      <c r="BH36" s="147"/>
      <c r="BI36" s="147"/>
      <c r="BJ36" s="147"/>
      <c r="BK36" s="147"/>
      <c r="BL36" s="147"/>
      <c r="BM36" s="147"/>
      <c r="BN36" s="147"/>
      <c r="BO36" s="147"/>
      <c r="BP36" s="147"/>
    </row>
    <row r="37" spans="1:68" s="118" customFormat="1" ht="48.75" customHeight="1" x14ac:dyDescent="0.2">
      <c r="A37" s="376"/>
      <c r="B37" s="378"/>
      <c r="C37" s="359"/>
      <c r="D37" s="359"/>
      <c r="E37" s="347"/>
      <c r="F37" s="182"/>
      <c r="G37" s="271"/>
      <c r="H37" s="362"/>
      <c r="I37" s="402"/>
      <c r="J37" s="362"/>
      <c r="K37" s="185"/>
      <c r="L37" s="365"/>
      <c r="M37" s="405"/>
      <c r="N37" s="344"/>
      <c r="O37" s="384"/>
      <c r="P37" s="381"/>
      <c r="Q37" s="384">
        <f t="shared" si="31"/>
        <v>0</v>
      </c>
      <c r="R37" s="344"/>
      <c r="S37" s="384"/>
      <c r="T37" s="399"/>
      <c r="U37" s="149">
        <v>5</v>
      </c>
      <c r="V37" s="117"/>
      <c r="W37" s="144" t="str">
        <f t="shared" si="35"/>
        <v/>
      </c>
      <c r="X37" s="141"/>
      <c r="Y37" s="141"/>
      <c r="Z37" s="142" t="str">
        <f t="shared" si="32"/>
        <v/>
      </c>
      <c r="AA37" s="141"/>
      <c r="AB37" s="141"/>
      <c r="AC37" s="141"/>
      <c r="AD37" s="143" t="str">
        <f t="shared" si="36"/>
        <v/>
      </c>
      <c r="AE37" s="150" t="str">
        <f t="shared" si="1"/>
        <v/>
      </c>
      <c r="AF37" s="142" t="str">
        <f t="shared" si="33"/>
        <v/>
      </c>
      <c r="AG37" s="150" t="str">
        <f t="shared" si="3"/>
        <v/>
      </c>
      <c r="AH37" s="142" t="str">
        <f t="shared" si="37"/>
        <v/>
      </c>
      <c r="AI37" s="151" t="str">
        <f t="shared" ref="AI37:AI38" si="38">IFERROR(IF(OR(AND(AE37="Muy Baja",AG37="Leve"),AND(AE37="Muy Baja",AG37="Menor"),AND(AE37="Baja",AG37="Leve")),"Bajo",IF(OR(AND(AE37="Muy baja",AG37="Moderado"),AND(AE37="Baja",AG37="Menor"),AND(AE37="Baja",AG37="Moderado"),AND(AE37="Media",AG37="Leve"),AND(AE37="Media",AG37="Menor"),AND(AE37="Media",AG37="Moderado"),AND(AE37="Alta",AG37="Leve"),AND(AE37="Alta",AG37="Menor")),"Moderado",IF(OR(AND(AE37="Muy Baja",AG37="Mayor"),AND(AE37="Baja",AG37="Mayor"),AND(AE37="Media",AG37="Mayor"),AND(AE37="Alta",AG37="Moderado"),AND(AE37="Alta",AG37="Mayor"),AND(AE37="Muy Alta",AG37="Leve"),AND(AE37="Muy Alta",AG37="Menor"),AND(AE37="Muy Alta",AG37="Moderado"),AND(AE37="Muy Alta",AG37="Mayor")),"Alto",IF(OR(AND(AE37="Muy Baja",AG37="Catastrófico"),AND(AE37="Baja",AG37="Catastrófico"),AND(AE37="Media",AG37="Catastrófico"),AND(AE37="Alta",AG37="Catastrófico"),AND(AE37="Muy Alta",AG37="Catastrófico")),"Extremo","")))),"")</f>
        <v/>
      </c>
      <c r="AJ37" s="390"/>
      <c r="AK37" s="146"/>
      <c r="AL37" s="145"/>
      <c r="AM37" s="140"/>
      <c r="AN37" s="140"/>
      <c r="AO37" s="347"/>
      <c r="AP37" s="347"/>
      <c r="AQ37" s="347"/>
      <c r="AR37" s="140"/>
      <c r="AS37" s="145"/>
      <c r="AT37" s="347"/>
      <c r="AU37" s="347"/>
      <c r="AV37" s="347"/>
      <c r="AW37" s="347"/>
      <c r="AX37" s="347"/>
      <c r="AY37" s="350"/>
      <c r="AZ37" s="147"/>
      <c r="BA37" s="147"/>
      <c r="BB37" s="147"/>
      <c r="BC37" s="147"/>
      <c r="BD37" s="147"/>
      <c r="BE37" s="147"/>
      <c r="BF37" s="147"/>
      <c r="BG37" s="147"/>
      <c r="BH37" s="147"/>
      <c r="BI37" s="147"/>
      <c r="BJ37" s="147"/>
      <c r="BK37" s="147"/>
      <c r="BL37" s="147"/>
      <c r="BM37" s="147"/>
      <c r="BN37" s="147"/>
      <c r="BO37" s="147"/>
      <c r="BP37" s="147"/>
    </row>
    <row r="38" spans="1:68" s="118" customFormat="1" ht="48.75" customHeight="1" thickBot="1" x14ac:dyDescent="0.25">
      <c r="A38" s="377"/>
      <c r="B38" s="379"/>
      <c r="C38" s="360"/>
      <c r="D38" s="360"/>
      <c r="E38" s="348"/>
      <c r="F38" s="179"/>
      <c r="G38" s="273"/>
      <c r="H38" s="363"/>
      <c r="I38" s="403"/>
      <c r="J38" s="363"/>
      <c r="K38" s="186"/>
      <c r="L38" s="366"/>
      <c r="M38" s="406"/>
      <c r="N38" s="345"/>
      <c r="O38" s="385"/>
      <c r="P38" s="382"/>
      <c r="Q38" s="385">
        <f t="shared" si="31"/>
        <v>0</v>
      </c>
      <c r="R38" s="345"/>
      <c r="S38" s="385"/>
      <c r="T38" s="400"/>
      <c r="U38" s="165">
        <v>6</v>
      </c>
      <c r="V38" s="281"/>
      <c r="W38" s="166" t="str">
        <f t="shared" si="35"/>
        <v/>
      </c>
      <c r="X38" s="167"/>
      <c r="Y38" s="167"/>
      <c r="Z38" s="168" t="str">
        <f t="shared" si="32"/>
        <v/>
      </c>
      <c r="AA38" s="167"/>
      <c r="AB38" s="167"/>
      <c r="AC38" s="167"/>
      <c r="AD38" s="169" t="str">
        <f t="shared" si="36"/>
        <v/>
      </c>
      <c r="AE38" s="170" t="str">
        <f t="shared" si="1"/>
        <v/>
      </c>
      <c r="AF38" s="168" t="str">
        <f t="shared" si="33"/>
        <v/>
      </c>
      <c r="AG38" s="170" t="str">
        <f t="shared" si="3"/>
        <v/>
      </c>
      <c r="AH38" s="168" t="str">
        <f t="shared" si="37"/>
        <v/>
      </c>
      <c r="AI38" s="171" t="str">
        <f t="shared" si="38"/>
        <v/>
      </c>
      <c r="AJ38" s="391"/>
      <c r="AK38" s="172"/>
      <c r="AL38" s="173"/>
      <c r="AM38" s="174"/>
      <c r="AN38" s="174"/>
      <c r="AO38" s="348"/>
      <c r="AP38" s="348"/>
      <c r="AQ38" s="348"/>
      <c r="AR38" s="174"/>
      <c r="AS38" s="173"/>
      <c r="AT38" s="348"/>
      <c r="AU38" s="348"/>
      <c r="AV38" s="348"/>
      <c r="AW38" s="348"/>
      <c r="AX38" s="348"/>
      <c r="AY38" s="351"/>
      <c r="AZ38" s="147"/>
      <c r="BA38" s="147"/>
      <c r="BB38" s="147"/>
      <c r="BC38" s="147"/>
      <c r="BD38" s="147"/>
      <c r="BE38" s="147"/>
      <c r="BF38" s="147"/>
      <c r="BG38" s="147"/>
      <c r="BH38" s="147"/>
      <c r="BI38" s="147"/>
      <c r="BJ38" s="147"/>
      <c r="BK38" s="147"/>
      <c r="BL38" s="147"/>
      <c r="BM38" s="147"/>
      <c r="BN38" s="147"/>
      <c r="BO38" s="147"/>
      <c r="BP38" s="147"/>
    </row>
    <row r="39" spans="1:68" s="118" customFormat="1" ht="48.75" customHeight="1" x14ac:dyDescent="0.2">
      <c r="A39" s="375">
        <v>6</v>
      </c>
      <c r="B39" s="407"/>
      <c r="C39" s="358"/>
      <c r="D39" s="358"/>
      <c r="E39" s="346"/>
      <c r="F39" s="178"/>
      <c r="G39" s="272"/>
      <c r="H39" s="368"/>
      <c r="I39" s="401"/>
      <c r="J39" s="368"/>
      <c r="K39" s="184"/>
      <c r="L39" s="364"/>
      <c r="M39" s="404"/>
      <c r="N39" s="343" t="str">
        <f>IF(M39&lt;=0,"",IF(M39&lt;=2,"Muy Baja",IF(M39&lt;=24,"Baja",IF(M39&lt;=500,"Media",IF(M39&lt;=5000,"Alta","Muy Alta")))))</f>
        <v/>
      </c>
      <c r="O39" s="383" t="str">
        <f>IF(N39="","",IF(N39="Muy Baja",0.2,IF(N39="Baja",0.4,IF(N39="Media",0.6,IF(N39="Alta",0.8,IF(N39="Muy Alta",1,))))))</f>
        <v/>
      </c>
      <c r="P39" s="380"/>
      <c r="Q39" s="383">
        <f>IF(NOT(ISERROR(MATCH(P39,'Tabla Impacto'!$B$221:$B$223,0))),'Tabla Impacto'!$F$223&amp;"Por favor no seleccionar los criterios de impacto(Afectación Económica o presupuestal y Pérdida Reputacional)",P39)</f>
        <v>0</v>
      </c>
      <c r="R39" s="343" t="str">
        <f>IF(OR(Q39='Tabla Impacto'!$C$11,Q39='Tabla Impacto'!$D$11),"Leve",IF(OR(Q39='Tabla Impacto'!$C$12,Q39='Tabla Impacto'!$D$12),"Menor",IF(OR(Q39='Tabla Impacto'!$C$13,Q39='Tabla Impacto'!$D$13),"Moderado",IF(OR(Q39='Tabla Impacto'!$C$14,Q39='Tabla Impacto'!$D$14),"Mayor",IF(OR(Q39='Tabla Impacto'!$C$15,Q39='Tabla Impacto'!$D$15),"Catastrófico","")))))</f>
        <v/>
      </c>
      <c r="S39" s="383" t="str">
        <f>IF(R39="","",IF(R39="Leve",0.2,IF(R39="Menor",0.4,IF(R39="Moderado",0.6,IF(R39="Mayor",0.8,IF(R39="Catastrófico",1,))))))</f>
        <v/>
      </c>
      <c r="T39" s="398" t="str">
        <f>IF(OR(AND(N39="Muy Baja",R39="Leve"),AND(N39="Muy Baja",R39="Menor"),AND(N39="Baja",R39="Leve")),"Bajo",IF(OR(AND(N39="Muy baja",R39="Moderado"),AND(N39="Baja",R39="Menor"),AND(N39="Baja",R39="Moderado"),AND(N39="Media",R39="Leve"),AND(N39="Media",R39="Menor"),AND(N39="Media",R39="Moderado"),AND(N39="Alta",R39="Leve"),AND(N39="Alta",R39="Menor")),"Moderado",IF(OR(AND(N39="Muy Baja",R39="Mayor"),AND(N39="Baja",R39="Mayor"),AND(N39="Media",R39="Mayor"),AND(N39="Alta",R39="Moderado"),AND(N39="Alta",R39="Mayor"),AND(N39="Muy Alta",R39="Leve"),AND(N39="Muy Alta",R39="Menor"),AND(N39="Muy Alta",R39="Moderado"),AND(N39="Muy Alta",R39="Mayor")),"Alto",IF(OR(AND(N39="Muy Baja",R39="Catastrófico"),AND(N39="Baja",R39="Catastrófico"),AND(N39="Media",R39="Catastrófico"),AND(N39="Alta",R39="Catastrófico"),AND(N39="Muy Alta",R39="Catastrófico")),"Extremo",""))))</f>
        <v/>
      </c>
      <c r="U39" s="155">
        <v>1</v>
      </c>
      <c r="V39" s="279"/>
      <c r="W39" s="156" t="str">
        <f>IF(OR(X39="Preventivo",X39="Detectivo"),"Probabilidad",IF(X39="Correctivo","Impacto",""))</f>
        <v/>
      </c>
      <c r="X39" s="157"/>
      <c r="Y39" s="157"/>
      <c r="Z39" s="158" t="str">
        <f>IF(AND(X39="Preventivo",Y39="Automático"),"50%",IF(AND(X39="Preventivo",Y39="Manual"),"40%",IF(AND(X39="Detectivo",Y39="Automático"),"40%",IF(AND(X39="Detectivo",Y39="Manual"),"30%",IF(AND(X39="Correctivo",Y39="Automático"),"35%",IF(AND(X39="Correctivo",Y39="Manual"),"25%",""))))))</f>
        <v/>
      </c>
      <c r="AA39" s="157"/>
      <c r="AB39" s="157"/>
      <c r="AC39" s="157"/>
      <c r="AD39" s="159" t="str">
        <f>IFERROR(IF(W39="Probabilidad",(O39-(+O39*Z39)),IF(W39="Impacto",O39,"")),"")</f>
        <v/>
      </c>
      <c r="AE39" s="160" t="str">
        <f>IFERROR(IF(AD39="","",IF(AD39&lt;=0.2,"Muy Baja",IF(AD39&lt;=0.4,"Baja",IF(AD39&lt;=0.6,"Media",IF(AD39&lt;=0.8,"Alta","Muy Alta"))))),"")</f>
        <v/>
      </c>
      <c r="AF39" s="158" t="str">
        <f>+AD39</f>
        <v/>
      </c>
      <c r="AG39" s="160" t="str">
        <f>IFERROR(IF(AH39="","",IF(AH39&lt;=0.2,"Leve",IF(AH39&lt;=0.4,"Menor",IF(AH39&lt;=0.6,"Moderado",IF(AH39&lt;=0.8,"Mayor","Catastrófico"))))),"")</f>
        <v/>
      </c>
      <c r="AH39" s="158" t="str">
        <f>IFERROR(IF(W39="Impacto",(S39-(+S39*Z39)),IF(W39="Probabilidad",S39,"")),"")</f>
        <v/>
      </c>
      <c r="AI39" s="161" t="str">
        <f>IFERROR(IF(OR(AND(AE39="Muy Baja",AG39="Leve"),AND(AE39="Muy Baja",AG39="Menor"),AND(AE39="Baja",AG39="Leve")),"Bajo",IF(OR(AND(AE39="Muy baja",AG39="Moderado"),AND(AE39="Baja",AG39="Menor"),AND(AE39="Baja",AG39="Moderado"),AND(AE39="Media",AG39="Leve"),AND(AE39="Media",AG39="Menor"),AND(AE39="Media",AG39="Moderado"),AND(AE39="Alta",AG39="Leve"),AND(AE39="Alta",AG39="Menor")),"Moderado",IF(OR(AND(AE39="Muy Baja",AG39="Mayor"),AND(AE39="Baja",AG39="Mayor"),AND(AE39="Media",AG39="Mayor"),AND(AE39="Alta",AG39="Moderado"),AND(AE39="Alta",AG39="Mayor"),AND(AE39="Muy Alta",AG39="Leve"),AND(AE39="Muy Alta",AG39="Menor"),AND(AE39="Muy Alta",AG39="Moderado"),AND(AE39="Muy Alta",AG39="Mayor")),"Alto",IF(OR(AND(AE39="Muy Baja",AG39="Catastrófico"),AND(AE39="Baja",AG39="Catastrófico"),AND(AE39="Media",AG39="Catastrófico"),AND(AE39="Alta",AG39="Catastrófico"),AND(AE39="Muy Alta",AG39="Catastrófico")),"Extremo","")))),"")</f>
        <v/>
      </c>
      <c r="AJ39" s="389"/>
      <c r="AK39" s="162"/>
      <c r="AL39" s="163"/>
      <c r="AM39" s="164"/>
      <c r="AN39" s="164"/>
      <c r="AO39" s="346"/>
      <c r="AP39" s="346"/>
      <c r="AQ39" s="346"/>
      <c r="AR39" s="164"/>
      <c r="AS39" s="163"/>
      <c r="AT39" s="346"/>
      <c r="AU39" s="346"/>
      <c r="AV39" s="367"/>
      <c r="AW39" s="346"/>
      <c r="AX39" s="346"/>
      <c r="AY39" s="349"/>
      <c r="AZ39" s="147"/>
      <c r="BA39" s="147"/>
      <c r="BB39" s="147"/>
      <c r="BC39" s="147"/>
      <c r="BD39" s="147"/>
      <c r="BE39" s="147"/>
      <c r="BF39" s="147"/>
      <c r="BG39" s="147"/>
      <c r="BH39" s="147"/>
      <c r="BI39" s="147"/>
      <c r="BJ39" s="147"/>
      <c r="BK39" s="147"/>
      <c r="BL39" s="147"/>
      <c r="BM39" s="147"/>
      <c r="BN39" s="147"/>
      <c r="BO39" s="147"/>
      <c r="BP39" s="147"/>
    </row>
    <row r="40" spans="1:68" s="118" customFormat="1" ht="48.75" customHeight="1" x14ac:dyDescent="0.2">
      <c r="A40" s="376"/>
      <c r="B40" s="378"/>
      <c r="C40" s="359"/>
      <c r="D40" s="359"/>
      <c r="E40" s="347"/>
      <c r="F40" s="182"/>
      <c r="G40" s="271"/>
      <c r="H40" s="362"/>
      <c r="I40" s="402"/>
      <c r="J40" s="362"/>
      <c r="K40" s="185"/>
      <c r="L40" s="365"/>
      <c r="M40" s="405"/>
      <c r="N40" s="344"/>
      <c r="O40" s="384"/>
      <c r="P40" s="381"/>
      <c r="Q40" s="384">
        <f t="shared" ref="Q40:Q44" si="39">IF(NOT(ISERROR(MATCH(P40,_xlfn.ANCHORARRAY(H51),0))),O53&amp;"Por favor no seleccionar los criterios de impacto",P40)</f>
        <v>0</v>
      </c>
      <c r="R40" s="344"/>
      <c r="S40" s="384"/>
      <c r="T40" s="399"/>
      <c r="U40" s="149">
        <v>2</v>
      </c>
      <c r="V40" s="117"/>
      <c r="W40" s="144" t="str">
        <f>IF(OR(X40="Preventivo",X40="Detectivo"),"Probabilidad",IF(X40="Correctivo","Impacto",""))</f>
        <v/>
      </c>
      <c r="X40" s="141"/>
      <c r="Y40" s="141"/>
      <c r="Z40" s="142" t="str">
        <f t="shared" ref="Z40:Z44" si="40">IF(AND(X40="Preventivo",Y40="Automático"),"50%",IF(AND(X40="Preventivo",Y40="Manual"),"40%",IF(AND(X40="Detectivo",Y40="Automático"),"40%",IF(AND(X40="Detectivo",Y40="Manual"),"30%",IF(AND(X40="Correctivo",Y40="Automático"),"35%",IF(AND(X40="Correctivo",Y40="Manual"),"25%",""))))))</f>
        <v/>
      </c>
      <c r="AA40" s="141"/>
      <c r="AB40" s="141"/>
      <c r="AC40" s="141"/>
      <c r="AD40" s="143" t="str">
        <f>IFERROR(IF(AND(W39="Probabilidad",W40="Probabilidad"),(AF39-(+AF39*Z40)),IF(W40="Probabilidad",(O39-(+O39*Z40)),IF(W40="Impacto",AF39,""))),"")</f>
        <v/>
      </c>
      <c r="AE40" s="150" t="str">
        <f t="shared" si="1"/>
        <v/>
      </c>
      <c r="AF40" s="142" t="str">
        <f t="shared" ref="AF40:AF44" si="41">+AD40</f>
        <v/>
      </c>
      <c r="AG40" s="150" t="str">
        <f t="shared" si="3"/>
        <v/>
      </c>
      <c r="AH40" s="142" t="str">
        <f>IFERROR(IF(AND(W39="Impacto",W40="Impacto"),(AH33-(+AH33*Z40)),IF(W40="Impacto",($S$39-(+$S$39*Z40)),IF(W40="Probabilidad",AH33,""))),"")</f>
        <v/>
      </c>
      <c r="AI40" s="151" t="str">
        <f t="shared" ref="AI40:AI41" si="42">IFERROR(IF(OR(AND(AE40="Muy Baja",AG40="Leve"),AND(AE40="Muy Baja",AG40="Menor"),AND(AE40="Baja",AG40="Leve")),"Bajo",IF(OR(AND(AE40="Muy baja",AG40="Moderado"),AND(AE40="Baja",AG40="Menor"),AND(AE40="Baja",AG40="Moderado"),AND(AE40="Media",AG40="Leve"),AND(AE40="Media",AG40="Menor"),AND(AE40="Media",AG40="Moderado"),AND(AE40="Alta",AG40="Leve"),AND(AE40="Alta",AG40="Menor")),"Moderado",IF(OR(AND(AE40="Muy Baja",AG40="Mayor"),AND(AE40="Baja",AG40="Mayor"),AND(AE40="Media",AG40="Mayor"),AND(AE40="Alta",AG40="Moderado"),AND(AE40="Alta",AG40="Mayor"),AND(AE40="Muy Alta",AG40="Leve"),AND(AE40="Muy Alta",AG40="Menor"),AND(AE40="Muy Alta",AG40="Moderado"),AND(AE40="Muy Alta",AG40="Mayor")),"Alto",IF(OR(AND(AE40="Muy Baja",AG40="Catastrófico"),AND(AE40="Baja",AG40="Catastrófico"),AND(AE40="Media",AG40="Catastrófico"),AND(AE40="Alta",AG40="Catastrófico"),AND(AE40="Muy Alta",AG40="Catastrófico")),"Extremo","")))),"")</f>
        <v/>
      </c>
      <c r="AJ40" s="390"/>
      <c r="AK40" s="146"/>
      <c r="AL40" s="145"/>
      <c r="AM40" s="140"/>
      <c r="AN40" s="140"/>
      <c r="AO40" s="347"/>
      <c r="AP40" s="347"/>
      <c r="AQ40" s="347"/>
      <c r="AR40" s="140"/>
      <c r="AS40" s="145"/>
      <c r="AT40" s="347"/>
      <c r="AU40" s="347"/>
      <c r="AV40" s="347"/>
      <c r="AW40" s="347"/>
      <c r="AX40" s="347"/>
      <c r="AY40" s="350"/>
      <c r="AZ40" s="147"/>
      <c r="BA40" s="147"/>
      <c r="BB40" s="147"/>
      <c r="BC40" s="147"/>
      <c r="BD40" s="147"/>
      <c r="BE40" s="147"/>
      <c r="BF40" s="147"/>
      <c r="BG40" s="147"/>
      <c r="BH40" s="147"/>
      <c r="BI40" s="147"/>
      <c r="BJ40" s="147"/>
      <c r="BK40" s="147"/>
      <c r="BL40" s="147"/>
      <c r="BM40" s="147"/>
      <c r="BN40" s="147"/>
      <c r="BO40" s="147"/>
      <c r="BP40" s="147"/>
    </row>
    <row r="41" spans="1:68" s="118" customFormat="1" ht="48.75" customHeight="1" x14ac:dyDescent="0.2">
      <c r="A41" s="376"/>
      <c r="B41" s="378"/>
      <c r="C41" s="359"/>
      <c r="D41" s="359"/>
      <c r="E41" s="347"/>
      <c r="F41" s="182"/>
      <c r="G41" s="271"/>
      <c r="H41" s="362"/>
      <c r="I41" s="402"/>
      <c r="J41" s="362"/>
      <c r="K41" s="185"/>
      <c r="L41" s="365"/>
      <c r="M41" s="405"/>
      <c r="N41" s="344"/>
      <c r="O41" s="384"/>
      <c r="P41" s="381"/>
      <c r="Q41" s="384">
        <f t="shared" si="39"/>
        <v>0</v>
      </c>
      <c r="R41" s="344"/>
      <c r="S41" s="384"/>
      <c r="T41" s="399"/>
      <c r="U41" s="149">
        <v>3</v>
      </c>
      <c r="V41" s="117"/>
      <c r="W41" s="144" t="str">
        <f>IF(OR(X41="Preventivo",X41="Detectivo"),"Probabilidad",IF(X41="Correctivo","Impacto",""))</f>
        <v/>
      </c>
      <c r="X41" s="141"/>
      <c r="Y41" s="141"/>
      <c r="Z41" s="142" t="str">
        <f t="shared" si="40"/>
        <v/>
      </c>
      <c r="AA41" s="141"/>
      <c r="AB41" s="141"/>
      <c r="AC41" s="141"/>
      <c r="AD41" s="143" t="str">
        <f>IFERROR(IF(AND(W40="Probabilidad",W41="Probabilidad"),(AF40-(+AF40*Z41)),IF(AND(W40="Impacto",W41="Probabilidad"),(AF39-(+AF39*Z41)),IF(W41="Impacto",AF40,""))),"")</f>
        <v/>
      </c>
      <c r="AE41" s="150" t="str">
        <f t="shared" si="1"/>
        <v/>
      </c>
      <c r="AF41" s="142" t="str">
        <f t="shared" si="41"/>
        <v/>
      </c>
      <c r="AG41" s="150" t="str">
        <f t="shared" si="3"/>
        <v/>
      </c>
      <c r="AH41" s="142" t="str">
        <f>IFERROR(IF(AND(W40="Impacto",W41="Impacto"),(AH40-(+AH40*Z41)),IF(AND(W40="Probabilidad",W41="Impacto"),(AH39-(+AH39*Z41)),IF(W41="Probabilidad",AH40,""))),"")</f>
        <v/>
      </c>
      <c r="AI41" s="151" t="str">
        <f t="shared" si="42"/>
        <v/>
      </c>
      <c r="AJ41" s="390"/>
      <c r="AK41" s="146"/>
      <c r="AL41" s="145"/>
      <c r="AM41" s="140"/>
      <c r="AN41" s="140"/>
      <c r="AO41" s="347"/>
      <c r="AP41" s="347"/>
      <c r="AQ41" s="347"/>
      <c r="AR41" s="140"/>
      <c r="AS41" s="145"/>
      <c r="AT41" s="347"/>
      <c r="AU41" s="347"/>
      <c r="AV41" s="347"/>
      <c r="AW41" s="347"/>
      <c r="AX41" s="347"/>
      <c r="AY41" s="350"/>
      <c r="AZ41" s="147"/>
      <c r="BA41" s="147"/>
      <c r="BB41" s="147"/>
      <c r="BC41" s="147"/>
      <c r="BD41" s="147"/>
      <c r="BE41" s="147"/>
      <c r="BF41" s="147"/>
      <c r="BG41" s="147"/>
      <c r="BH41" s="147"/>
      <c r="BI41" s="147"/>
      <c r="BJ41" s="147"/>
      <c r="BK41" s="147"/>
      <c r="BL41" s="147"/>
      <c r="BM41" s="147"/>
      <c r="BN41" s="147"/>
      <c r="BO41" s="147"/>
      <c r="BP41" s="147"/>
    </row>
    <row r="42" spans="1:68" s="118" customFormat="1" ht="48.75" customHeight="1" x14ac:dyDescent="0.2">
      <c r="A42" s="376"/>
      <c r="B42" s="378"/>
      <c r="C42" s="359"/>
      <c r="D42" s="359"/>
      <c r="E42" s="347"/>
      <c r="F42" s="182"/>
      <c r="G42" s="271"/>
      <c r="H42" s="362"/>
      <c r="I42" s="402"/>
      <c r="J42" s="362"/>
      <c r="K42" s="185"/>
      <c r="L42" s="365"/>
      <c r="M42" s="405"/>
      <c r="N42" s="344"/>
      <c r="O42" s="384"/>
      <c r="P42" s="381"/>
      <c r="Q42" s="384">
        <f t="shared" si="39"/>
        <v>0</v>
      </c>
      <c r="R42" s="344"/>
      <c r="S42" s="384"/>
      <c r="T42" s="399"/>
      <c r="U42" s="149">
        <v>4</v>
      </c>
      <c r="V42" s="117"/>
      <c r="W42" s="144" t="str">
        <f t="shared" ref="W42:W44" si="43">IF(OR(X42="Preventivo",X42="Detectivo"),"Probabilidad",IF(X42="Correctivo","Impacto",""))</f>
        <v/>
      </c>
      <c r="X42" s="141"/>
      <c r="Y42" s="141"/>
      <c r="Z42" s="142" t="str">
        <f t="shared" si="40"/>
        <v/>
      </c>
      <c r="AA42" s="141"/>
      <c r="AB42" s="141"/>
      <c r="AC42" s="141"/>
      <c r="AD42" s="143" t="str">
        <f t="shared" ref="AD42:AD44" si="44">IFERROR(IF(AND(W41="Probabilidad",W42="Probabilidad"),(AF41-(+AF41*Z42)),IF(AND(W41="Impacto",W42="Probabilidad"),(AF40-(+AF40*Z42)),IF(W42="Impacto",AF41,""))),"")</f>
        <v/>
      </c>
      <c r="AE42" s="150" t="str">
        <f t="shared" si="1"/>
        <v/>
      </c>
      <c r="AF42" s="142" t="str">
        <f t="shared" si="41"/>
        <v/>
      </c>
      <c r="AG42" s="150" t="str">
        <f t="shared" si="3"/>
        <v/>
      </c>
      <c r="AH42" s="142" t="str">
        <f t="shared" ref="AH42:AH44" si="45">IFERROR(IF(AND(W41="Impacto",W42="Impacto"),(AH41-(+AH41*Z42)),IF(AND(W41="Probabilidad",W42="Impacto"),(AH40-(+AH40*Z42)),IF(W42="Probabilidad",AH41,""))),"")</f>
        <v/>
      </c>
      <c r="AI42" s="151" t="str">
        <f>IFERROR(IF(OR(AND(AE42="Muy Baja",AG42="Leve"),AND(AE42="Muy Baja",AG42="Menor"),AND(AE42="Baja",AG42="Leve")),"Bajo",IF(OR(AND(AE42="Muy baja",AG42="Moderado"),AND(AE42="Baja",AG42="Menor"),AND(AE42="Baja",AG42="Moderado"),AND(AE42="Media",AG42="Leve"),AND(AE42="Media",AG42="Menor"),AND(AE42="Media",AG42="Moderado"),AND(AE42="Alta",AG42="Leve"),AND(AE42="Alta",AG42="Menor")),"Moderado",IF(OR(AND(AE42="Muy Baja",AG42="Mayor"),AND(AE42="Baja",AG42="Mayor"),AND(AE42="Media",AG42="Mayor"),AND(AE42="Alta",AG42="Moderado"),AND(AE42="Alta",AG42="Mayor"),AND(AE42="Muy Alta",AG42="Leve"),AND(AE42="Muy Alta",AG42="Menor"),AND(AE42="Muy Alta",AG42="Moderado"),AND(AE42="Muy Alta",AG42="Mayor")),"Alto",IF(OR(AND(AE42="Muy Baja",AG42="Catastrófico"),AND(AE42="Baja",AG42="Catastrófico"),AND(AE42="Media",AG42="Catastrófico"),AND(AE42="Alta",AG42="Catastrófico"),AND(AE42="Muy Alta",AG42="Catastrófico")),"Extremo","")))),"")</f>
        <v/>
      </c>
      <c r="AJ42" s="390"/>
      <c r="AK42" s="146"/>
      <c r="AL42" s="145"/>
      <c r="AM42" s="140"/>
      <c r="AN42" s="140"/>
      <c r="AO42" s="347"/>
      <c r="AP42" s="347"/>
      <c r="AQ42" s="347"/>
      <c r="AR42" s="140"/>
      <c r="AS42" s="145"/>
      <c r="AT42" s="347"/>
      <c r="AU42" s="347"/>
      <c r="AV42" s="347"/>
      <c r="AW42" s="347"/>
      <c r="AX42" s="347"/>
      <c r="AY42" s="350"/>
      <c r="AZ42" s="147"/>
      <c r="BA42" s="147"/>
      <c r="BB42" s="147"/>
      <c r="BC42" s="147"/>
      <c r="BD42" s="147"/>
      <c r="BE42" s="147"/>
      <c r="BF42" s="147"/>
      <c r="BG42" s="147"/>
      <c r="BH42" s="147"/>
      <c r="BI42" s="147"/>
      <c r="BJ42" s="147"/>
      <c r="BK42" s="147"/>
      <c r="BL42" s="147"/>
      <c r="BM42" s="147"/>
      <c r="BN42" s="147"/>
      <c r="BO42" s="147"/>
      <c r="BP42" s="147"/>
    </row>
    <row r="43" spans="1:68" s="118" customFormat="1" ht="48.75" customHeight="1" x14ac:dyDescent="0.2">
      <c r="A43" s="376"/>
      <c r="B43" s="378"/>
      <c r="C43" s="359"/>
      <c r="D43" s="359"/>
      <c r="E43" s="347"/>
      <c r="F43" s="182"/>
      <c r="G43" s="271"/>
      <c r="H43" s="362"/>
      <c r="I43" s="402"/>
      <c r="J43" s="362"/>
      <c r="K43" s="185"/>
      <c r="L43" s="365"/>
      <c r="M43" s="405"/>
      <c r="N43" s="344"/>
      <c r="O43" s="384"/>
      <c r="P43" s="381"/>
      <c r="Q43" s="384">
        <f t="shared" si="39"/>
        <v>0</v>
      </c>
      <c r="R43" s="344"/>
      <c r="S43" s="384"/>
      <c r="T43" s="399"/>
      <c r="U43" s="149">
        <v>5</v>
      </c>
      <c r="V43" s="117"/>
      <c r="W43" s="144" t="str">
        <f t="shared" si="43"/>
        <v/>
      </c>
      <c r="X43" s="141"/>
      <c r="Y43" s="141"/>
      <c r="Z43" s="142" t="str">
        <f t="shared" si="40"/>
        <v/>
      </c>
      <c r="AA43" s="141"/>
      <c r="AB43" s="141"/>
      <c r="AC43" s="141"/>
      <c r="AD43" s="143" t="str">
        <f t="shared" si="44"/>
        <v/>
      </c>
      <c r="AE43" s="150" t="str">
        <f t="shared" si="1"/>
        <v/>
      </c>
      <c r="AF43" s="142" t="str">
        <f t="shared" si="41"/>
        <v/>
      </c>
      <c r="AG43" s="150" t="str">
        <f t="shared" si="3"/>
        <v/>
      </c>
      <c r="AH43" s="142" t="str">
        <f t="shared" si="45"/>
        <v/>
      </c>
      <c r="AI43" s="151" t="str">
        <f t="shared" ref="AI43" si="46">IFERROR(IF(OR(AND(AE43="Muy Baja",AG43="Leve"),AND(AE43="Muy Baja",AG43="Menor"),AND(AE43="Baja",AG43="Leve")),"Bajo",IF(OR(AND(AE43="Muy baja",AG43="Moderado"),AND(AE43="Baja",AG43="Menor"),AND(AE43="Baja",AG43="Moderado"),AND(AE43="Media",AG43="Leve"),AND(AE43="Media",AG43="Menor"),AND(AE43="Media",AG43="Moderado"),AND(AE43="Alta",AG43="Leve"),AND(AE43="Alta",AG43="Menor")),"Moderado",IF(OR(AND(AE43="Muy Baja",AG43="Mayor"),AND(AE43="Baja",AG43="Mayor"),AND(AE43="Media",AG43="Mayor"),AND(AE43="Alta",AG43="Moderado"),AND(AE43="Alta",AG43="Mayor"),AND(AE43="Muy Alta",AG43="Leve"),AND(AE43="Muy Alta",AG43="Menor"),AND(AE43="Muy Alta",AG43="Moderado"),AND(AE43="Muy Alta",AG43="Mayor")),"Alto",IF(OR(AND(AE43="Muy Baja",AG43="Catastrófico"),AND(AE43="Baja",AG43="Catastrófico"),AND(AE43="Media",AG43="Catastrófico"),AND(AE43="Alta",AG43="Catastrófico"),AND(AE43="Muy Alta",AG43="Catastrófico")),"Extremo","")))),"")</f>
        <v/>
      </c>
      <c r="AJ43" s="390"/>
      <c r="AK43" s="146"/>
      <c r="AL43" s="145"/>
      <c r="AM43" s="140"/>
      <c r="AN43" s="140"/>
      <c r="AO43" s="347"/>
      <c r="AP43" s="347"/>
      <c r="AQ43" s="347"/>
      <c r="AR43" s="140"/>
      <c r="AS43" s="145"/>
      <c r="AT43" s="347"/>
      <c r="AU43" s="347"/>
      <c r="AV43" s="347"/>
      <c r="AW43" s="347"/>
      <c r="AX43" s="347"/>
      <c r="AY43" s="350"/>
      <c r="AZ43" s="147"/>
      <c r="BA43" s="147"/>
      <c r="BB43" s="147"/>
      <c r="BC43" s="147"/>
      <c r="BD43" s="147"/>
      <c r="BE43" s="147"/>
      <c r="BF43" s="147"/>
      <c r="BG43" s="147"/>
      <c r="BH43" s="147"/>
      <c r="BI43" s="147"/>
      <c r="BJ43" s="147"/>
      <c r="BK43" s="147"/>
      <c r="BL43" s="147"/>
      <c r="BM43" s="147"/>
      <c r="BN43" s="147"/>
      <c r="BO43" s="147"/>
      <c r="BP43" s="147"/>
    </row>
    <row r="44" spans="1:68" s="118" customFormat="1" ht="48.75" customHeight="1" thickBot="1" x14ac:dyDescent="0.25">
      <c r="A44" s="377"/>
      <c r="B44" s="379"/>
      <c r="C44" s="360"/>
      <c r="D44" s="360"/>
      <c r="E44" s="348"/>
      <c r="F44" s="179"/>
      <c r="G44" s="273"/>
      <c r="H44" s="363"/>
      <c r="I44" s="403"/>
      <c r="J44" s="363"/>
      <c r="K44" s="186"/>
      <c r="L44" s="366"/>
      <c r="M44" s="406"/>
      <c r="N44" s="345"/>
      <c r="O44" s="385"/>
      <c r="P44" s="382"/>
      <c r="Q44" s="385">
        <f t="shared" si="39"/>
        <v>0</v>
      </c>
      <c r="R44" s="345"/>
      <c r="S44" s="385"/>
      <c r="T44" s="400"/>
      <c r="U44" s="165">
        <v>6</v>
      </c>
      <c r="V44" s="281"/>
      <c r="W44" s="166" t="str">
        <f t="shared" si="43"/>
        <v/>
      </c>
      <c r="X44" s="167"/>
      <c r="Y44" s="167"/>
      <c r="Z44" s="168" t="str">
        <f t="shared" si="40"/>
        <v/>
      </c>
      <c r="AA44" s="167"/>
      <c r="AB44" s="167"/>
      <c r="AC44" s="167"/>
      <c r="AD44" s="169" t="str">
        <f t="shared" si="44"/>
        <v/>
      </c>
      <c r="AE44" s="170" t="str">
        <f t="shared" si="1"/>
        <v/>
      </c>
      <c r="AF44" s="168" t="str">
        <f t="shared" si="41"/>
        <v/>
      </c>
      <c r="AG44" s="170" t="str">
        <f>IFERROR(IF(AH44="","",IF(AH44&lt;=0.2,"Leve",IF(AH44&lt;=0.4,"Menor",IF(AH44&lt;=0.6,"Moderado",IF(AH44&lt;=0.8,"Mayor","Catastrófico"))))),"")</f>
        <v/>
      </c>
      <c r="AH44" s="168" t="str">
        <f t="shared" si="45"/>
        <v/>
      </c>
      <c r="AI44" s="171" t="str">
        <f>IFERROR(IF(OR(AND(AE44="Muy Baja",AG44="Leve"),AND(AE44="Muy Baja",AG44="Menor"),AND(AE44="Baja",AG44="Leve")),"Bajo",IF(OR(AND(AE44="Muy baja",AG44="Moderado"),AND(AE44="Baja",AG44="Menor"),AND(AE44="Baja",AG44="Moderado"),AND(AE44="Media",AG44="Leve"),AND(AE44="Media",AG44="Menor"),AND(AE44="Media",AG44="Moderado"),AND(AE44="Alta",AG44="Leve"),AND(AE44="Alta",AG44="Menor")),"Moderado",IF(OR(AND(AE44="Muy Baja",AG44="Mayor"),AND(AE44="Baja",AG44="Mayor"),AND(AE44="Media",AG44="Mayor"),AND(AE44="Alta",AG44="Moderado"),AND(AE44="Alta",AG44="Mayor"),AND(AE44="Muy Alta",AG44="Leve"),AND(AE44="Muy Alta",AG44="Menor"),AND(AE44="Muy Alta",AG44="Moderado"),AND(AE44="Muy Alta",AG44="Mayor")),"Alto",IF(OR(AND(AE44="Muy Baja",AG44="Catastrófico"),AND(AE44="Baja",AG44="Catastrófico"),AND(AE44="Media",AG44="Catastrófico"),AND(AE44="Alta",AG44="Catastrófico"),AND(AE44="Muy Alta",AG44="Catastrófico")),"Extremo","")))),"")</f>
        <v/>
      </c>
      <c r="AJ44" s="391"/>
      <c r="AK44" s="172"/>
      <c r="AL44" s="173"/>
      <c r="AM44" s="174"/>
      <c r="AN44" s="174"/>
      <c r="AO44" s="348"/>
      <c r="AP44" s="348"/>
      <c r="AQ44" s="348"/>
      <c r="AR44" s="174"/>
      <c r="AS44" s="173"/>
      <c r="AT44" s="348"/>
      <c r="AU44" s="348"/>
      <c r="AV44" s="348"/>
      <c r="AW44" s="348"/>
      <c r="AX44" s="348"/>
      <c r="AY44" s="351"/>
      <c r="AZ44" s="147"/>
      <c r="BA44" s="147"/>
      <c r="BB44" s="147"/>
      <c r="BC44" s="147"/>
      <c r="BD44" s="147"/>
      <c r="BE44" s="147"/>
      <c r="BF44" s="147"/>
      <c r="BG44" s="147"/>
      <c r="BH44" s="147"/>
      <c r="BI44" s="147"/>
      <c r="BJ44" s="147"/>
      <c r="BK44" s="147"/>
      <c r="BL44" s="147"/>
      <c r="BM44" s="147"/>
      <c r="BN44" s="147"/>
      <c r="BO44" s="147"/>
      <c r="BP44" s="147"/>
    </row>
    <row r="45" spans="1:68" s="118" customFormat="1" ht="48.75" customHeight="1" x14ac:dyDescent="0.2">
      <c r="A45" s="375">
        <v>7</v>
      </c>
      <c r="B45" s="407"/>
      <c r="C45" s="358"/>
      <c r="D45" s="358"/>
      <c r="E45" s="346"/>
      <c r="F45" s="178"/>
      <c r="G45" s="272"/>
      <c r="H45" s="368"/>
      <c r="I45" s="401"/>
      <c r="J45" s="368"/>
      <c r="K45" s="184"/>
      <c r="L45" s="364"/>
      <c r="M45" s="404"/>
      <c r="N45" s="343" t="str">
        <f>IF(M45&lt;=0,"",IF(M45&lt;=2,"Muy Baja",IF(M45&lt;=24,"Baja",IF(M45&lt;=500,"Media",IF(M45&lt;=5000,"Alta","Muy Alta")))))</f>
        <v/>
      </c>
      <c r="O45" s="383" t="str">
        <f>IF(N45="","",IF(N45="Muy Baja",0.2,IF(N45="Baja",0.4,IF(N45="Media",0.6,IF(N45="Alta",0.8,IF(N45="Muy Alta",1,))))))</f>
        <v/>
      </c>
      <c r="P45" s="380"/>
      <c r="Q45" s="383">
        <f>IF(NOT(ISERROR(MATCH(P45,'Tabla Impacto'!$B$221:$B$223,0))),'Tabla Impacto'!$F$223&amp;"Por favor no seleccionar los criterios de impacto(Afectación Económica o presupuestal y Pérdida Reputacional)",P45)</f>
        <v>0</v>
      </c>
      <c r="R45" s="343" t="str">
        <f>IF(OR(Q45='Tabla Impacto'!$C$11,Q45='Tabla Impacto'!$D$11),"Leve",IF(OR(Q45='Tabla Impacto'!$C$12,Q45='Tabla Impacto'!$D$12),"Menor",IF(OR(Q45='Tabla Impacto'!$C$13,Q45='Tabla Impacto'!$D$13),"Moderado",IF(OR(Q45='Tabla Impacto'!$C$14,Q45='Tabla Impacto'!$D$14),"Mayor",IF(OR(Q45='Tabla Impacto'!$C$15,Q45='Tabla Impacto'!$D$15),"Catastrófico","")))))</f>
        <v/>
      </c>
      <c r="S45" s="383" t="str">
        <f>IF(R45="","",IF(R45="Leve",0.2,IF(R45="Menor",0.4,IF(R45="Moderado",0.6,IF(R45="Mayor",0.8,IF(R45="Catastrófico",1,))))))</f>
        <v/>
      </c>
      <c r="T45" s="398" t="str">
        <f>IF(OR(AND(N45="Muy Baja",R45="Leve"),AND(N45="Muy Baja",R45="Menor"),AND(N45="Baja",R45="Leve")),"Bajo",IF(OR(AND(N45="Muy baja",R45="Moderado"),AND(N45="Baja",R45="Menor"),AND(N45="Baja",R45="Moderado"),AND(N45="Media",R45="Leve"),AND(N45="Media",R45="Menor"),AND(N45="Media",R45="Moderado"),AND(N45="Alta",R45="Leve"),AND(N45="Alta",R45="Menor")),"Moderado",IF(OR(AND(N45="Muy Baja",R45="Mayor"),AND(N45="Baja",R45="Mayor"),AND(N45="Media",R45="Mayor"),AND(N45="Alta",R45="Moderado"),AND(N45="Alta",R45="Mayor"),AND(N45="Muy Alta",R45="Leve"),AND(N45="Muy Alta",R45="Menor"),AND(N45="Muy Alta",R45="Moderado"),AND(N45="Muy Alta",R45="Mayor")),"Alto",IF(OR(AND(N45="Muy Baja",R45="Catastrófico"),AND(N45="Baja",R45="Catastrófico"),AND(N45="Media",R45="Catastrófico"),AND(N45="Alta",R45="Catastrófico"),AND(N45="Muy Alta",R45="Catastrófico")),"Extremo",""))))</f>
        <v/>
      </c>
      <c r="U45" s="155">
        <v>1</v>
      </c>
      <c r="V45" s="279"/>
      <c r="W45" s="156" t="str">
        <f>IF(OR(X45="Preventivo",X45="Detectivo"),"Probabilidad",IF(X45="Correctivo","Impacto",""))</f>
        <v/>
      </c>
      <c r="X45" s="157"/>
      <c r="Y45" s="157"/>
      <c r="Z45" s="158" t="str">
        <f>IF(AND(X45="Preventivo",Y45="Automático"),"50%",IF(AND(X45="Preventivo",Y45="Manual"),"40%",IF(AND(X45="Detectivo",Y45="Automático"),"40%",IF(AND(X45="Detectivo",Y45="Manual"),"30%",IF(AND(X45="Correctivo",Y45="Automático"),"35%",IF(AND(X45="Correctivo",Y45="Manual"),"25%",""))))))</f>
        <v/>
      </c>
      <c r="AA45" s="157"/>
      <c r="AB45" s="157"/>
      <c r="AC45" s="157"/>
      <c r="AD45" s="159" t="str">
        <f>IFERROR(IF(W45="Probabilidad",(O45-(+O45*Z45)),IF(W45="Impacto",O45,"")),"")</f>
        <v/>
      </c>
      <c r="AE45" s="160" t="str">
        <f>IFERROR(IF(AD45="","",IF(AD45&lt;=0.2,"Muy Baja",IF(AD45&lt;=0.4,"Baja",IF(AD45&lt;=0.6,"Media",IF(AD45&lt;=0.8,"Alta","Muy Alta"))))),"")</f>
        <v/>
      </c>
      <c r="AF45" s="158" t="str">
        <f>+AD45</f>
        <v/>
      </c>
      <c r="AG45" s="160" t="str">
        <f>IFERROR(IF(AH45="","",IF(AH45&lt;=0.2,"Leve",IF(AH45&lt;=0.4,"Menor",IF(AH45&lt;=0.6,"Moderado",IF(AH45&lt;=0.8,"Mayor","Catastrófico"))))),"")</f>
        <v/>
      </c>
      <c r="AH45" s="158" t="str">
        <f>IFERROR(IF(W45="Impacto",(S45-(+S45*Z45)),IF(W45="Probabilidad",S45,"")),"")</f>
        <v/>
      </c>
      <c r="AI45" s="161" t="str">
        <f>IFERROR(IF(OR(AND(AE45="Muy Baja",AG45="Leve"),AND(AE45="Muy Baja",AG45="Menor"),AND(AE45="Baja",AG45="Leve")),"Bajo",IF(OR(AND(AE45="Muy baja",AG45="Moderado"),AND(AE45="Baja",AG45="Menor"),AND(AE45="Baja",AG45="Moderado"),AND(AE45="Media",AG45="Leve"),AND(AE45="Media",AG45="Menor"),AND(AE45="Media",AG45="Moderado"),AND(AE45="Alta",AG45="Leve"),AND(AE45="Alta",AG45="Menor")),"Moderado",IF(OR(AND(AE45="Muy Baja",AG45="Mayor"),AND(AE45="Baja",AG45="Mayor"),AND(AE45="Media",AG45="Mayor"),AND(AE45="Alta",AG45="Moderado"),AND(AE45="Alta",AG45="Mayor"),AND(AE45="Muy Alta",AG45="Leve"),AND(AE45="Muy Alta",AG45="Menor"),AND(AE45="Muy Alta",AG45="Moderado"),AND(AE45="Muy Alta",AG45="Mayor")),"Alto",IF(OR(AND(AE45="Muy Baja",AG45="Catastrófico"),AND(AE45="Baja",AG45="Catastrófico"),AND(AE45="Media",AG45="Catastrófico"),AND(AE45="Alta",AG45="Catastrófico"),AND(AE45="Muy Alta",AG45="Catastrófico")),"Extremo","")))),"")</f>
        <v/>
      </c>
      <c r="AJ45" s="389"/>
      <c r="AK45" s="162"/>
      <c r="AL45" s="163"/>
      <c r="AM45" s="164"/>
      <c r="AN45" s="164"/>
      <c r="AO45" s="346"/>
      <c r="AP45" s="346"/>
      <c r="AQ45" s="346"/>
      <c r="AR45" s="164"/>
      <c r="AS45" s="163"/>
      <c r="AT45" s="346"/>
      <c r="AU45" s="346"/>
      <c r="AV45" s="367"/>
      <c r="AW45" s="346"/>
      <c r="AX45" s="346"/>
      <c r="AY45" s="349"/>
      <c r="AZ45" s="147"/>
      <c r="BA45" s="147"/>
      <c r="BB45" s="147"/>
      <c r="BC45" s="147"/>
      <c r="BD45" s="147"/>
      <c r="BE45" s="147"/>
      <c r="BF45" s="147"/>
      <c r="BG45" s="147"/>
      <c r="BH45" s="147"/>
      <c r="BI45" s="147"/>
      <c r="BJ45" s="147"/>
      <c r="BK45" s="147"/>
      <c r="BL45" s="147"/>
      <c r="BM45" s="147"/>
      <c r="BN45" s="147"/>
      <c r="BO45" s="147"/>
      <c r="BP45" s="147"/>
    </row>
    <row r="46" spans="1:68" s="118" customFormat="1" ht="48.75" customHeight="1" x14ac:dyDescent="0.2">
      <c r="A46" s="376"/>
      <c r="B46" s="378"/>
      <c r="C46" s="359"/>
      <c r="D46" s="359"/>
      <c r="E46" s="347"/>
      <c r="F46" s="182"/>
      <c r="G46" s="271"/>
      <c r="H46" s="362"/>
      <c r="I46" s="402"/>
      <c r="J46" s="362"/>
      <c r="K46" s="185"/>
      <c r="L46" s="365"/>
      <c r="M46" s="405"/>
      <c r="N46" s="344"/>
      <c r="O46" s="384"/>
      <c r="P46" s="381"/>
      <c r="Q46" s="384">
        <f t="shared" ref="Q46:Q50" si="47">IF(NOT(ISERROR(MATCH(P46,_xlfn.ANCHORARRAY(H57),0))),O59&amp;"Por favor no seleccionar los criterios de impacto",P46)</f>
        <v>0</v>
      </c>
      <c r="R46" s="344"/>
      <c r="S46" s="384"/>
      <c r="T46" s="399"/>
      <c r="U46" s="149">
        <v>2</v>
      </c>
      <c r="V46" s="117"/>
      <c r="W46" s="144" t="str">
        <f>IF(OR(X46="Preventivo",X46="Detectivo"),"Probabilidad",IF(X46="Correctivo","Impacto",""))</f>
        <v/>
      </c>
      <c r="X46" s="141"/>
      <c r="Y46" s="141"/>
      <c r="Z46" s="142" t="str">
        <f t="shared" ref="Z46:Z50" si="48">IF(AND(X46="Preventivo",Y46="Automático"),"50%",IF(AND(X46="Preventivo",Y46="Manual"),"40%",IF(AND(X46="Detectivo",Y46="Automático"),"40%",IF(AND(X46="Detectivo",Y46="Manual"),"30%",IF(AND(X46="Correctivo",Y46="Automático"),"35%",IF(AND(X46="Correctivo",Y46="Manual"),"25%",""))))))</f>
        <v/>
      </c>
      <c r="AA46" s="141"/>
      <c r="AB46" s="141"/>
      <c r="AC46" s="141"/>
      <c r="AD46" s="143" t="str">
        <f>IFERROR(IF(AND(W45="Probabilidad",W46="Probabilidad"),(AF45-(+AF45*Z46)),IF(W46="Probabilidad",(O45-(+O45*Z46)),IF(W46="Impacto",AF45,""))),"")</f>
        <v/>
      </c>
      <c r="AE46" s="150" t="str">
        <f t="shared" si="1"/>
        <v/>
      </c>
      <c r="AF46" s="142" t="str">
        <f t="shared" ref="AF46:AF50" si="49">+AD46</f>
        <v/>
      </c>
      <c r="AG46" s="150" t="str">
        <f t="shared" si="3"/>
        <v/>
      </c>
      <c r="AH46" s="142" t="str">
        <f>IFERROR(IF(AND(W45="Impacto",W46="Impacto"),(AH39-(+AH39*Z46)),IF(W46="Impacto",($S$45-(+$S$45*Z46)),IF(W46="Probabilidad",AH39,""))),"")</f>
        <v/>
      </c>
      <c r="AI46" s="151" t="str">
        <f t="shared" ref="AI46:AI47" si="50">IFERROR(IF(OR(AND(AE46="Muy Baja",AG46="Leve"),AND(AE46="Muy Baja",AG46="Menor"),AND(AE46="Baja",AG46="Leve")),"Bajo",IF(OR(AND(AE46="Muy baja",AG46="Moderado"),AND(AE46="Baja",AG46="Menor"),AND(AE46="Baja",AG46="Moderado"),AND(AE46="Media",AG46="Leve"),AND(AE46="Media",AG46="Menor"),AND(AE46="Media",AG46="Moderado"),AND(AE46="Alta",AG46="Leve"),AND(AE46="Alta",AG46="Menor")),"Moderado",IF(OR(AND(AE46="Muy Baja",AG46="Mayor"),AND(AE46="Baja",AG46="Mayor"),AND(AE46="Media",AG46="Mayor"),AND(AE46="Alta",AG46="Moderado"),AND(AE46="Alta",AG46="Mayor"),AND(AE46="Muy Alta",AG46="Leve"),AND(AE46="Muy Alta",AG46="Menor"),AND(AE46="Muy Alta",AG46="Moderado"),AND(AE46="Muy Alta",AG46="Mayor")),"Alto",IF(OR(AND(AE46="Muy Baja",AG46="Catastrófico"),AND(AE46="Baja",AG46="Catastrófico"),AND(AE46="Media",AG46="Catastrófico"),AND(AE46="Alta",AG46="Catastrófico"),AND(AE46="Muy Alta",AG46="Catastrófico")),"Extremo","")))),"")</f>
        <v/>
      </c>
      <c r="AJ46" s="390"/>
      <c r="AK46" s="146"/>
      <c r="AL46" s="145"/>
      <c r="AM46" s="140"/>
      <c r="AN46" s="140"/>
      <c r="AO46" s="347"/>
      <c r="AP46" s="347"/>
      <c r="AQ46" s="347"/>
      <c r="AR46" s="140"/>
      <c r="AS46" s="145"/>
      <c r="AT46" s="347"/>
      <c r="AU46" s="347"/>
      <c r="AV46" s="347"/>
      <c r="AW46" s="347"/>
      <c r="AX46" s="347"/>
      <c r="AY46" s="350"/>
      <c r="AZ46" s="147"/>
      <c r="BA46" s="147"/>
      <c r="BB46" s="147"/>
      <c r="BC46" s="147"/>
      <c r="BD46" s="147"/>
      <c r="BE46" s="147"/>
      <c r="BF46" s="147"/>
      <c r="BG46" s="147"/>
      <c r="BH46" s="147"/>
      <c r="BI46" s="147"/>
      <c r="BJ46" s="147"/>
      <c r="BK46" s="147"/>
      <c r="BL46" s="147"/>
      <c r="BM46" s="147"/>
      <c r="BN46" s="147"/>
      <c r="BO46" s="147"/>
      <c r="BP46" s="147"/>
    </row>
    <row r="47" spans="1:68" s="118" customFormat="1" ht="48.75" customHeight="1" x14ac:dyDescent="0.2">
      <c r="A47" s="376"/>
      <c r="B47" s="378"/>
      <c r="C47" s="359"/>
      <c r="D47" s="359"/>
      <c r="E47" s="347"/>
      <c r="F47" s="182"/>
      <c r="G47" s="271"/>
      <c r="H47" s="362"/>
      <c r="I47" s="402"/>
      <c r="J47" s="362"/>
      <c r="K47" s="185"/>
      <c r="L47" s="365"/>
      <c r="M47" s="405"/>
      <c r="N47" s="344"/>
      <c r="O47" s="384"/>
      <c r="P47" s="381"/>
      <c r="Q47" s="384">
        <f t="shared" si="47"/>
        <v>0</v>
      </c>
      <c r="R47" s="344"/>
      <c r="S47" s="384"/>
      <c r="T47" s="399"/>
      <c r="U47" s="149">
        <v>3</v>
      </c>
      <c r="V47" s="117"/>
      <c r="W47" s="144" t="str">
        <f>IF(OR(X47="Preventivo",X47="Detectivo"),"Probabilidad",IF(X47="Correctivo","Impacto",""))</f>
        <v/>
      </c>
      <c r="X47" s="141"/>
      <c r="Y47" s="141"/>
      <c r="Z47" s="142" t="str">
        <f t="shared" si="48"/>
        <v/>
      </c>
      <c r="AA47" s="141"/>
      <c r="AB47" s="141"/>
      <c r="AC47" s="141"/>
      <c r="AD47" s="143" t="str">
        <f>IFERROR(IF(AND(W46="Probabilidad",W47="Probabilidad"),(AF46-(+AF46*Z47)),IF(AND(W46="Impacto",W47="Probabilidad"),(AF45-(+AF45*Z47)),IF(W47="Impacto",AF46,""))),"")</f>
        <v/>
      </c>
      <c r="AE47" s="150" t="str">
        <f t="shared" si="1"/>
        <v/>
      </c>
      <c r="AF47" s="142" t="str">
        <f t="shared" si="49"/>
        <v/>
      </c>
      <c r="AG47" s="150" t="str">
        <f t="shared" si="3"/>
        <v/>
      </c>
      <c r="AH47" s="142" t="str">
        <f>IFERROR(IF(AND(W46="Impacto",W47="Impacto"),(AH46-(+AH46*Z47)),IF(AND(W46="Probabilidad",W47="Impacto"),(AH45-(+AH45*Z47)),IF(W47="Probabilidad",AH46,""))),"")</f>
        <v/>
      </c>
      <c r="AI47" s="151" t="str">
        <f t="shared" si="50"/>
        <v/>
      </c>
      <c r="AJ47" s="390"/>
      <c r="AK47" s="146"/>
      <c r="AL47" s="145"/>
      <c r="AM47" s="140"/>
      <c r="AN47" s="140"/>
      <c r="AO47" s="347"/>
      <c r="AP47" s="347"/>
      <c r="AQ47" s="347"/>
      <c r="AR47" s="140"/>
      <c r="AS47" s="145"/>
      <c r="AT47" s="347"/>
      <c r="AU47" s="347"/>
      <c r="AV47" s="347"/>
      <c r="AW47" s="347"/>
      <c r="AX47" s="347"/>
      <c r="AY47" s="350"/>
      <c r="AZ47" s="147"/>
      <c r="BA47" s="147"/>
      <c r="BB47" s="147"/>
      <c r="BC47" s="147"/>
      <c r="BD47" s="147"/>
      <c r="BE47" s="147"/>
      <c r="BF47" s="147"/>
      <c r="BG47" s="147"/>
      <c r="BH47" s="147"/>
      <c r="BI47" s="147"/>
      <c r="BJ47" s="147"/>
      <c r="BK47" s="147"/>
      <c r="BL47" s="147"/>
      <c r="BM47" s="147"/>
      <c r="BN47" s="147"/>
      <c r="BO47" s="147"/>
      <c r="BP47" s="147"/>
    </row>
    <row r="48" spans="1:68" s="118" customFormat="1" ht="48.75" customHeight="1" x14ac:dyDescent="0.2">
      <c r="A48" s="376"/>
      <c r="B48" s="378"/>
      <c r="C48" s="359"/>
      <c r="D48" s="359"/>
      <c r="E48" s="347"/>
      <c r="F48" s="182"/>
      <c r="G48" s="271"/>
      <c r="H48" s="362"/>
      <c r="I48" s="402"/>
      <c r="J48" s="362"/>
      <c r="K48" s="185"/>
      <c r="L48" s="365"/>
      <c r="M48" s="405"/>
      <c r="N48" s="344"/>
      <c r="O48" s="384"/>
      <c r="P48" s="381"/>
      <c r="Q48" s="384">
        <f t="shared" si="47"/>
        <v>0</v>
      </c>
      <c r="R48" s="344"/>
      <c r="S48" s="384"/>
      <c r="T48" s="399"/>
      <c r="U48" s="149">
        <v>4</v>
      </c>
      <c r="V48" s="117"/>
      <c r="W48" s="144" t="str">
        <f t="shared" ref="W48:W50" si="51">IF(OR(X48="Preventivo",X48="Detectivo"),"Probabilidad",IF(X48="Correctivo","Impacto",""))</f>
        <v/>
      </c>
      <c r="X48" s="141"/>
      <c r="Y48" s="141"/>
      <c r="Z48" s="142" t="str">
        <f t="shared" si="48"/>
        <v/>
      </c>
      <c r="AA48" s="141"/>
      <c r="AB48" s="141"/>
      <c r="AC48" s="141"/>
      <c r="AD48" s="143" t="str">
        <f t="shared" ref="AD48:AD50" si="52">IFERROR(IF(AND(W47="Probabilidad",W48="Probabilidad"),(AF47-(+AF47*Z48)),IF(AND(W47="Impacto",W48="Probabilidad"),(AF46-(+AF46*Z48)),IF(W48="Impacto",AF47,""))),"")</f>
        <v/>
      </c>
      <c r="AE48" s="150" t="str">
        <f t="shared" si="1"/>
        <v/>
      </c>
      <c r="AF48" s="142" t="str">
        <f t="shared" si="49"/>
        <v/>
      </c>
      <c r="AG48" s="150" t="str">
        <f t="shared" si="3"/>
        <v/>
      </c>
      <c r="AH48" s="142" t="str">
        <f t="shared" ref="AH48:AH50" si="53">IFERROR(IF(AND(W47="Impacto",W48="Impacto"),(AH47-(+AH47*Z48)),IF(AND(W47="Probabilidad",W48="Impacto"),(AH46-(+AH46*Z48)),IF(W48="Probabilidad",AH47,""))),"")</f>
        <v/>
      </c>
      <c r="AI48" s="151" t="str">
        <f>IFERROR(IF(OR(AND(AE48="Muy Baja",AG48="Leve"),AND(AE48="Muy Baja",AG48="Menor"),AND(AE48="Baja",AG48="Leve")),"Bajo",IF(OR(AND(AE48="Muy baja",AG48="Moderado"),AND(AE48="Baja",AG48="Menor"),AND(AE48="Baja",AG48="Moderado"),AND(AE48="Media",AG48="Leve"),AND(AE48="Media",AG48="Menor"),AND(AE48="Media",AG48="Moderado"),AND(AE48="Alta",AG48="Leve"),AND(AE48="Alta",AG48="Menor")),"Moderado",IF(OR(AND(AE48="Muy Baja",AG48="Mayor"),AND(AE48="Baja",AG48="Mayor"),AND(AE48="Media",AG48="Mayor"),AND(AE48="Alta",AG48="Moderado"),AND(AE48="Alta",AG48="Mayor"),AND(AE48="Muy Alta",AG48="Leve"),AND(AE48="Muy Alta",AG48="Menor"),AND(AE48="Muy Alta",AG48="Moderado"),AND(AE48="Muy Alta",AG48="Mayor")),"Alto",IF(OR(AND(AE48="Muy Baja",AG48="Catastrófico"),AND(AE48="Baja",AG48="Catastrófico"),AND(AE48="Media",AG48="Catastrófico"),AND(AE48="Alta",AG48="Catastrófico"),AND(AE48="Muy Alta",AG48="Catastrófico")),"Extremo","")))),"")</f>
        <v/>
      </c>
      <c r="AJ48" s="390"/>
      <c r="AK48" s="146"/>
      <c r="AL48" s="145"/>
      <c r="AM48" s="140"/>
      <c r="AN48" s="140"/>
      <c r="AO48" s="347"/>
      <c r="AP48" s="347"/>
      <c r="AQ48" s="347"/>
      <c r="AR48" s="140"/>
      <c r="AS48" s="145"/>
      <c r="AT48" s="347"/>
      <c r="AU48" s="347"/>
      <c r="AV48" s="347"/>
      <c r="AW48" s="347"/>
      <c r="AX48" s="347"/>
      <c r="AY48" s="350"/>
      <c r="AZ48" s="147"/>
      <c r="BA48" s="147"/>
      <c r="BB48" s="147"/>
      <c r="BC48" s="147"/>
      <c r="BD48" s="147"/>
      <c r="BE48" s="147"/>
      <c r="BF48" s="147"/>
      <c r="BG48" s="147"/>
      <c r="BH48" s="147"/>
      <c r="BI48" s="147"/>
      <c r="BJ48" s="147"/>
      <c r="BK48" s="147"/>
      <c r="BL48" s="147"/>
      <c r="BM48" s="147"/>
      <c r="BN48" s="147"/>
      <c r="BO48" s="147"/>
      <c r="BP48" s="147"/>
    </row>
    <row r="49" spans="1:68" s="118" customFormat="1" ht="48.75" customHeight="1" x14ac:dyDescent="0.2">
      <c r="A49" s="376"/>
      <c r="B49" s="378"/>
      <c r="C49" s="359"/>
      <c r="D49" s="359"/>
      <c r="E49" s="347"/>
      <c r="F49" s="182"/>
      <c r="G49" s="271"/>
      <c r="H49" s="362"/>
      <c r="I49" s="402"/>
      <c r="J49" s="362"/>
      <c r="K49" s="185"/>
      <c r="L49" s="365"/>
      <c r="M49" s="405"/>
      <c r="N49" s="344"/>
      <c r="O49" s="384"/>
      <c r="P49" s="381"/>
      <c r="Q49" s="384">
        <f t="shared" si="47"/>
        <v>0</v>
      </c>
      <c r="R49" s="344"/>
      <c r="S49" s="384"/>
      <c r="T49" s="399"/>
      <c r="U49" s="149">
        <v>5</v>
      </c>
      <c r="V49" s="117"/>
      <c r="W49" s="144" t="str">
        <f t="shared" si="51"/>
        <v/>
      </c>
      <c r="X49" s="141"/>
      <c r="Y49" s="141"/>
      <c r="Z49" s="142" t="str">
        <f t="shared" si="48"/>
        <v/>
      </c>
      <c r="AA49" s="141"/>
      <c r="AB49" s="141"/>
      <c r="AC49" s="141"/>
      <c r="AD49" s="143" t="str">
        <f t="shared" si="52"/>
        <v/>
      </c>
      <c r="AE49" s="150" t="str">
        <f t="shared" si="1"/>
        <v/>
      </c>
      <c r="AF49" s="142" t="str">
        <f t="shared" si="49"/>
        <v/>
      </c>
      <c r="AG49" s="150" t="str">
        <f t="shared" si="3"/>
        <v/>
      </c>
      <c r="AH49" s="142" t="str">
        <f t="shared" si="53"/>
        <v/>
      </c>
      <c r="AI49" s="151" t="str">
        <f t="shared" ref="AI49:AI50" si="54">IFERROR(IF(OR(AND(AE49="Muy Baja",AG49="Leve"),AND(AE49="Muy Baja",AG49="Menor"),AND(AE49="Baja",AG49="Leve")),"Bajo",IF(OR(AND(AE49="Muy baja",AG49="Moderado"),AND(AE49="Baja",AG49="Menor"),AND(AE49="Baja",AG49="Moderado"),AND(AE49="Media",AG49="Leve"),AND(AE49="Media",AG49="Menor"),AND(AE49="Media",AG49="Moderado"),AND(AE49="Alta",AG49="Leve"),AND(AE49="Alta",AG49="Menor")),"Moderado",IF(OR(AND(AE49="Muy Baja",AG49="Mayor"),AND(AE49="Baja",AG49="Mayor"),AND(AE49="Media",AG49="Mayor"),AND(AE49="Alta",AG49="Moderado"),AND(AE49="Alta",AG49="Mayor"),AND(AE49="Muy Alta",AG49="Leve"),AND(AE49="Muy Alta",AG49="Menor"),AND(AE49="Muy Alta",AG49="Moderado"),AND(AE49="Muy Alta",AG49="Mayor")),"Alto",IF(OR(AND(AE49="Muy Baja",AG49="Catastrófico"),AND(AE49="Baja",AG49="Catastrófico"),AND(AE49="Media",AG49="Catastrófico"),AND(AE49="Alta",AG49="Catastrófico"),AND(AE49="Muy Alta",AG49="Catastrófico")),"Extremo","")))),"")</f>
        <v/>
      </c>
      <c r="AJ49" s="390"/>
      <c r="AK49" s="146"/>
      <c r="AL49" s="145"/>
      <c r="AM49" s="140"/>
      <c r="AN49" s="140"/>
      <c r="AO49" s="347"/>
      <c r="AP49" s="347"/>
      <c r="AQ49" s="347"/>
      <c r="AR49" s="140"/>
      <c r="AS49" s="145"/>
      <c r="AT49" s="347"/>
      <c r="AU49" s="347"/>
      <c r="AV49" s="347"/>
      <c r="AW49" s="347"/>
      <c r="AX49" s="347"/>
      <c r="AY49" s="350"/>
      <c r="AZ49" s="147"/>
      <c r="BA49" s="147"/>
      <c r="BB49" s="147"/>
      <c r="BC49" s="147"/>
      <c r="BD49" s="147"/>
      <c r="BE49" s="147"/>
      <c r="BF49" s="147"/>
      <c r="BG49" s="147"/>
      <c r="BH49" s="147"/>
      <c r="BI49" s="147"/>
      <c r="BJ49" s="147"/>
      <c r="BK49" s="147"/>
      <c r="BL49" s="147"/>
      <c r="BM49" s="147"/>
      <c r="BN49" s="147"/>
      <c r="BO49" s="147"/>
      <c r="BP49" s="147"/>
    </row>
    <row r="50" spans="1:68" s="118" customFormat="1" ht="48.75" customHeight="1" thickBot="1" x14ac:dyDescent="0.25">
      <c r="A50" s="377"/>
      <c r="B50" s="379"/>
      <c r="C50" s="360"/>
      <c r="D50" s="360"/>
      <c r="E50" s="348"/>
      <c r="F50" s="179"/>
      <c r="G50" s="273"/>
      <c r="H50" s="363"/>
      <c r="I50" s="403"/>
      <c r="J50" s="363"/>
      <c r="K50" s="186"/>
      <c r="L50" s="366"/>
      <c r="M50" s="406"/>
      <c r="N50" s="345"/>
      <c r="O50" s="385"/>
      <c r="P50" s="382"/>
      <c r="Q50" s="385">
        <f t="shared" si="47"/>
        <v>0</v>
      </c>
      <c r="R50" s="345"/>
      <c r="S50" s="385"/>
      <c r="T50" s="400"/>
      <c r="U50" s="165">
        <v>6</v>
      </c>
      <c r="V50" s="281"/>
      <c r="W50" s="166" t="str">
        <f t="shared" si="51"/>
        <v/>
      </c>
      <c r="X50" s="167"/>
      <c r="Y50" s="167"/>
      <c r="Z50" s="168" t="str">
        <f t="shared" si="48"/>
        <v/>
      </c>
      <c r="AA50" s="167"/>
      <c r="AB50" s="167"/>
      <c r="AC50" s="167"/>
      <c r="AD50" s="169" t="str">
        <f t="shared" si="52"/>
        <v/>
      </c>
      <c r="AE50" s="170" t="str">
        <f t="shared" si="1"/>
        <v/>
      </c>
      <c r="AF50" s="168" t="str">
        <f t="shared" si="49"/>
        <v/>
      </c>
      <c r="AG50" s="170" t="str">
        <f t="shared" si="3"/>
        <v/>
      </c>
      <c r="AH50" s="168" t="str">
        <f t="shared" si="53"/>
        <v/>
      </c>
      <c r="AI50" s="171" t="str">
        <f t="shared" si="54"/>
        <v/>
      </c>
      <c r="AJ50" s="391"/>
      <c r="AK50" s="172"/>
      <c r="AL50" s="173"/>
      <c r="AM50" s="174"/>
      <c r="AN50" s="174"/>
      <c r="AO50" s="348"/>
      <c r="AP50" s="348"/>
      <c r="AQ50" s="348"/>
      <c r="AR50" s="174"/>
      <c r="AS50" s="173"/>
      <c r="AT50" s="348"/>
      <c r="AU50" s="348"/>
      <c r="AV50" s="348"/>
      <c r="AW50" s="348"/>
      <c r="AX50" s="348"/>
      <c r="AY50" s="351"/>
      <c r="AZ50" s="147"/>
      <c r="BA50" s="147"/>
      <c r="BB50" s="147"/>
      <c r="BC50" s="147"/>
      <c r="BD50" s="147"/>
      <c r="BE50" s="147"/>
      <c r="BF50" s="147"/>
      <c r="BG50" s="147"/>
      <c r="BH50" s="147"/>
      <c r="BI50" s="147"/>
      <c r="BJ50" s="147"/>
      <c r="BK50" s="147"/>
      <c r="BL50" s="147"/>
      <c r="BM50" s="147"/>
      <c r="BN50" s="147"/>
      <c r="BO50" s="147"/>
      <c r="BP50" s="147"/>
    </row>
    <row r="51" spans="1:68" s="118" customFormat="1" ht="48.75" customHeight="1" x14ac:dyDescent="0.2">
      <c r="A51" s="375">
        <v>8</v>
      </c>
      <c r="B51" s="407"/>
      <c r="C51" s="358"/>
      <c r="D51" s="358"/>
      <c r="E51" s="346"/>
      <c r="F51" s="178"/>
      <c r="G51" s="272"/>
      <c r="H51" s="368"/>
      <c r="I51" s="401"/>
      <c r="J51" s="368"/>
      <c r="K51" s="184"/>
      <c r="L51" s="364"/>
      <c r="M51" s="404"/>
      <c r="N51" s="343" t="str">
        <f>IF(M51&lt;=0,"",IF(M51&lt;=2,"Muy Baja",IF(M51&lt;=24,"Baja",IF(M51&lt;=500,"Media",IF(M51&lt;=5000,"Alta","Muy Alta")))))</f>
        <v/>
      </c>
      <c r="O51" s="383" t="str">
        <f>IF(N51="","",IF(N51="Muy Baja",0.2,IF(N51="Baja",0.4,IF(N51="Media",0.6,IF(N51="Alta",0.8,IF(N51="Muy Alta",1,))))))</f>
        <v/>
      </c>
      <c r="P51" s="380"/>
      <c r="Q51" s="383">
        <f>IF(NOT(ISERROR(MATCH(P51,'Tabla Impacto'!$B$221:$B$223,0))),'Tabla Impacto'!$F$223&amp;"Por favor no seleccionar los criterios de impacto(Afectación Económica o presupuestal y Pérdida Reputacional)",P51)</f>
        <v>0</v>
      </c>
      <c r="R51" s="343" t="str">
        <f>IF(OR(Q51='Tabla Impacto'!$C$11,Q51='Tabla Impacto'!$D$11),"Leve",IF(OR(Q51='Tabla Impacto'!$C$12,Q51='Tabla Impacto'!$D$12),"Menor",IF(OR(Q51='Tabla Impacto'!$C$13,Q51='Tabla Impacto'!$D$13),"Moderado",IF(OR(Q51='Tabla Impacto'!$C$14,Q51='Tabla Impacto'!$D$14),"Mayor",IF(OR(Q51='Tabla Impacto'!$C$15,Q51='Tabla Impacto'!$D$15),"Catastrófico","")))))</f>
        <v/>
      </c>
      <c r="S51" s="383" t="str">
        <f>IF(R51="","",IF(R51="Leve",0.2,IF(R51="Menor",0.4,IF(R51="Moderado",0.6,IF(R51="Mayor",0.8,IF(R51="Catastrófico",1,))))))</f>
        <v/>
      </c>
      <c r="T51" s="398" t="str">
        <f>IF(OR(AND(N51="Muy Baja",R51="Leve"),AND(N51="Muy Baja",R51="Menor"),AND(N51="Baja",R51="Leve")),"Bajo",IF(OR(AND(N51="Muy baja",R51="Moderado"),AND(N51="Baja",R51="Menor"),AND(N51="Baja",R51="Moderado"),AND(N51="Media",R51="Leve"),AND(N51="Media",R51="Menor"),AND(N51="Media",R51="Moderado"),AND(N51="Alta",R51="Leve"),AND(N51="Alta",R51="Menor")),"Moderado",IF(OR(AND(N51="Muy Baja",R51="Mayor"),AND(N51="Baja",R51="Mayor"),AND(N51="Media",R51="Mayor"),AND(N51="Alta",R51="Moderado"),AND(N51="Alta",R51="Mayor"),AND(N51="Muy Alta",R51="Leve"),AND(N51="Muy Alta",R51="Menor"),AND(N51="Muy Alta",R51="Moderado"),AND(N51="Muy Alta",R51="Mayor")),"Alto",IF(OR(AND(N51="Muy Baja",R51="Catastrófico"),AND(N51="Baja",R51="Catastrófico"),AND(N51="Media",R51="Catastrófico"),AND(N51="Alta",R51="Catastrófico"),AND(N51="Muy Alta",R51="Catastrófico")),"Extremo",""))))</f>
        <v/>
      </c>
      <c r="U51" s="155">
        <v>1</v>
      </c>
      <c r="V51" s="279"/>
      <c r="W51" s="156" t="str">
        <f>IF(OR(X51="Preventivo",X51="Detectivo"),"Probabilidad",IF(X51="Correctivo","Impacto",""))</f>
        <v/>
      </c>
      <c r="X51" s="157"/>
      <c r="Y51" s="157"/>
      <c r="Z51" s="158" t="str">
        <f>IF(AND(X51="Preventivo",Y51="Automático"),"50%",IF(AND(X51="Preventivo",Y51="Manual"),"40%",IF(AND(X51="Detectivo",Y51="Automático"),"40%",IF(AND(X51="Detectivo",Y51="Manual"),"30%",IF(AND(X51="Correctivo",Y51="Automático"),"35%",IF(AND(X51="Correctivo",Y51="Manual"),"25%",""))))))</f>
        <v/>
      </c>
      <c r="AA51" s="157"/>
      <c r="AB51" s="157"/>
      <c r="AC51" s="157"/>
      <c r="AD51" s="159" t="str">
        <f>IFERROR(IF(W51="Probabilidad",(O51-(+O51*Z51)),IF(W51="Impacto",O51,"")),"")</f>
        <v/>
      </c>
      <c r="AE51" s="160" t="str">
        <f>IFERROR(IF(AD51="","",IF(AD51&lt;=0.2,"Muy Baja",IF(AD51&lt;=0.4,"Baja",IF(AD51&lt;=0.6,"Media",IF(AD51&lt;=0.8,"Alta","Muy Alta"))))),"")</f>
        <v/>
      </c>
      <c r="AF51" s="158" t="str">
        <f>+AD51</f>
        <v/>
      </c>
      <c r="AG51" s="160" t="str">
        <f>IFERROR(IF(AH51="","",IF(AH51&lt;=0.2,"Leve",IF(AH51&lt;=0.4,"Menor",IF(AH51&lt;=0.6,"Moderado",IF(AH51&lt;=0.8,"Mayor","Catastrófico"))))),"")</f>
        <v/>
      </c>
      <c r="AH51" s="158" t="str">
        <f>IFERROR(IF(W51="Impacto",(S51-(+S51*Z51)),IF(W51="Probabilidad",S51,"")),"")</f>
        <v/>
      </c>
      <c r="AI51" s="161" t="str">
        <f>IFERROR(IF(OR(AND(AE51="Muy Baja",AG51="Leve"),AND(AE51="Muy Baja",AG51="Menor"),AND(AE51="Baja",AG51="Leve")),"Bajo",IF(OR(AND(AE51="Muy baja",AG51="Moderado"),AND(AE51="Baja",AG51="Menor"),AND(AE51="Baja",AG51="Moderado"),AND(AE51="Media",AG51="Leve"),AND(AE51="Media",AG51="Menor"),AND(AE51="Media",AG51="Moderado"),AND(AE51="Alta",AG51="Leve"),AND(AE51="Alta",AG51="Menor")),"Moderado",IF(OR(AND(AE51="Muy Baja",AG51="Mayor"),AND(AE51="Baja",AG51="Mayor"),AND(AE51="Media",AG51="Mayor"),AND(AE51="Alta",AG51="Moderado"),AND(AE51="Alta",AG51="Mayor"),AND(AE51="Muy Alta",AG51="Leve"),AND(AE51="Muy Alta",AG51="Menor"),AND(AE51="Muy Alta",AG51="Moderado"),AND(AE51="Muy Alta",AG51="Mayor")),"Alto",IF(OR(AND(AE51="Muy Baja",AG51="Catastrófico"),AND(AE51="Baja",AG51="Catastrófico"),AND(AE51="Media",AG51="Catastrófico"),AND(AE51="Alta",AG51="Catastrófico"),AND(AE51="Muy Alta",AG51="Catastrófico")),"Extremo","")))),"")</f>
        <v/>
      </c>
      <c r="AJ51" s="389"/>
      <c r="AK51" s="162"/>
      <c r="AL51" s="163"/>
      <c r="AM51" s="164"/>
      <c r="AN51" s="164"/>
      <c r="AO51" s="346"/>
      <c r="AP51" s="346"/>
      <c r="AQ51" s="346"/>
      <c r="AR51" s="164"/>
      <c r="AS51" s="163"/>
      <c r="AT51" s="346"/>
      <c r="AU51" s="346"/>
      <c r="AV51" s="367"/>
      <c r="AW51" s="346"/>
      <c r="AX51" s="346"/>
      <c r="AY51" s="349"/>
      <c r="AZ51" s="147"/>
      <c r="BA51" s="147"/>
      <c r="BB51" s="147"/>
      <c r="BC51" s="147"/>
      <c r="BD51" s="147"/>
      <c r="BE51" s="147"/>
      <c r="BF51" s="147"/>
      <c r="BG51" s="147"/>
      <c r="BH51" s="147"/>
      <c r="BI51" s="147"/>
      <c r="BJ51" s="147"/>
      <c r="BK51" s="147"/>
      <c r="BL51" s="147"/>
      <c r="BM51" s="147"/>
      <c r="BN51" s="147"/>
      <c r="BO51" s="147"/>
      <c r="BP51" s="147"/>
    </row>
    <row r="52" spans="1:68" s="118" customFormat="1" ht="48.75" customHeight="1" x14ac:dyDescent="0.2">
      <c r="A52" s="376"/>
      <c r="B52" s="378"/>
      <c r="C52" s="359"/>
      <c r="D52" s="359"/>
      <c r="E52" s="347"/>
      <c r="F52" s="182"/>
      <c r="G52" s="271"/>
      <c r="H52" s="362"/>
      <c r="I52" s="402"/>
      <c r="J52" s="362"/>
      <c r="K52" s="185"/>
      <c r="L52" s="365"/>
      <c r="M52" s="405"/>
      <c r="N52" s="344"/>
      <c r="O52" s="384"/>
      <c r="P52" s="381"/>
      <c r="Q52" s="384">
        <f>IF(NOT(ISERROR(MATCH(P52,_xlfn.ANCHORARRAY(H63),0))),O65&amp;"Por favor no seleccionar los criterios de impacto",P52)</f>
        <v>0</v>
      </c>
      <c r="R52" s="344"/>
      <c r="S52" s="384"/>
      <c r="T52" s="399"/>
      <c r="U52" s="149">
        <v>2</v>
      </c>
      <c r="V52" s="117"/>
      <c r="W52" s="144" t="str">
        <f>IF(OR(X52="Preventivo",X52="Detectivo"),"Probabilidad",IF(X52="Correctivo","Impacto",""))</f>
        <v/>
      </c>
      <c r="X52" s="141"/>
      <c r="Y52" s="141"/>
      <c r="Z52" s="142" t="str">
        <f t="shared" ref="Z52:Z56" si="55">IF(AND(X52="Preventivo",Y52="Automático"),"50%",IF(AND(X52="Preventivo",Y52="Manual"),"40%",IF(AND(X52="Detectivo",Y52="Automático"),"40%",IF(AND(X52="Detectivo",Y52="Manual"),"30%",IF(AND(X52="Correctivo",Y52="Automático"),"35%",IF(AND(X52="Correctivo",Y52="Manual"),"25%",""))))))</f>
        <v/>
      </c>
      <c r="AA52" s="141"/>
      <c r="AB52" s="141"/>
      <c r="AC52" s="141"/>
      <c r="AD52" s="143" t="str">
        <f>IFERROR(IF(AND(W51="Probabilidad",W52="Probabilidad"),(AF51-(+AF51*Z52)),IF(W52="Probabilidad",(O51-(+O51*Z52)),IF(W52="Impacto",AF51,""))),"")</f>
        <v/>
      </c>
      <c r="AE52" s="150" t="str">
        <f t="shared" si="1"/>
        <v/>
      </c>
      <c r="AF52" s="142" t="str">
        <f t="shared" ref="AF52:AF56" si="56">+AD52</f>
        <v/>
      </c>
      <c r="AG52" s="150" t="str">
        <f t="shared" si="3"/>
        <v/>
      </c>
      <c r="AH52" s="142" t="str">
        <f>IFERROR(IF(AND(W51="Impacto",W52="Impacto"),(AH45-(+AH45*Z52)),IF(W52="Impacto",($S$51-(+$S$51*Z52)),IF(W52="Probabilidad",AH45,""))),"")</f>
        <v/>
      </c>
      <c r="AI52" s="151" t="str">
        <f t="shared" ref="AI52:AI53" si="57">IFERROR(IF(OR(AND(AE52="Muy Baja",AG52="Leve"),AND(AE52="Muy Baja",AG52="Menor"),AND(AE52="Baja",AG52="Leve")),"Bajo",IF(OR(AND(AE52="Muy baja",AG52="Moderado"),AND(AE52="Baja",AG52="Menor"),AND(AE52="Baja",AG52="Moderado"),AND(AE52="Media",AG52="Leve"),AND(AE52="Media",AG52="Menor"),AND(AE52="Media",AG52="Moderado"),AND(AE52="Alta",AG52="Leve"),AND(AE52="Alta",AG52="Menor")),"Moderado",IF(OR(AND(AE52="Muy Baja",AG52="Mayor"),AND(AE52="Baja",AG52="Mayor"),AND(AE52="Media",AG52="Mayor"),AND(AE52="Alta",AG52="Moderado"),AND(AE52="Alta",AG52="Mayor"),AND(AE52="Muy Alta",AG52="Leve"),AND(AE52="Muy Alta",AG52="Menor"),AND(AE52="Muy Alta",AG52="Moderado"),AND(AE52="Muy Alta",AG52="Mayor")),"Alto",IF(OR(AND(AE52="Muy Baja",AG52="Catastrófico"),AND(AE52="Baja",AG52="Catastrófico"),AND(AE52="Media",AG52="Catastrófico"),AND(AE52="Alta",AG52="Catastrófico"),AND(AE52="Muy Alta",AG52="Catastrófico")),"Extremo","")))),"")</f>
        <v/>
      </c>
      <c r="AJ52" s="390"/>
      <c r="AK52" s="146"/>
      <c r="AL52" s="145"/>
      <c r="AM52" s="140"/>
      <c r="AN52" s="140"/>
      <c r="AO52" s="347"/>
      <c r="AP52" s="347"/>
      <c r="AQ52" s="347"/>
      <c r="AR52" s="140"/>
      <c r="AS52" s="145"/>
      <c r="AT52" s="347"/>
      <c r="AU52" s="347"/>
      <c r="AV52" s="347"/>
      <c r="AW52" s="347"/>
      <c r="AX52" s="347"/>
      <c r="AY52" s="350"/>
      <c r="AZ52" s="147"/>
      <c r="BA52" s="147"/>
      <c r="BB52" s="147"/>
      <c r="BC52" s="147"/>
      <c r="BD52" s="147"/>
      <c r="BE52" s="147"/>
      <c r="BF52" s="147"/>
      <c r="BG52" s="147"/>
      <c r="BH52" s="147"/>
      <c r="BI52" s="147"/>
      <c r="BJ52" s="147"/>
      <c r="BK52" s="147"/>
      <c r="BL52" s="147"/>
      <c r="BM52" s="147"/>
      <c r="BN52" s="147"/>
      <c r="BO52" s="147"/>
      <c r="BP52" s="147"/>
    </row>
    <row r="53" spans="1:68" s="118" customFormat="1" ht="48.75" customHeight="1" x14ac:dyDescent="0.2">
      <c r="A53" s="376"/>
      <c r="B53" s="378"/>
      <c r="C53" s="359"/>
      <c r="D53" s="359"/>
      <c r="E53" s="347"/>
      <c r="F53" s="182"/>
      <c r="G53" s="271"/>
      <c r="H53" s="362"/>
      <c r="I53" s="402"/>
      <c r="J53" s="362"/>
      <c r="K53" s="185"/>
      <c r="L53" s="365"/>
      <c r="M53" s="405"/>
      <c r="N53" s="344"/>
      <c r="O53" s="384"/>
      <c r="P53" s="381"/>
      <c r="Q53" s="384">
        <f>IF(NOT(ISERROR(MATCH(P53,_xlfn.ANCHORARRAY(H64),0))),O66&amp;"Por favor no seleccionar los criterios de impacto",P53)</f>
        <v>0</v>
      </c>
      <c r="R53" s="344"/>
      <c r="S53" s="384"/>
      <c r="T53" s="399"/>
      <c r="U53" s="149">
        <v>3</v>
      </c>
      <c r="V53" s="117"/>
      <c r="W53" s="144" t="str">
        <f>IF(OR(X53="Preventivo",X53="Detectivo"),"Probabilidad",IF(X53="Correctivo","Impacto",""))</f>
        <v/>
      </c>
      <c r="X53" s="141"/>
      <c r="Y53" s="141"/>
      <c r="Z53" s="142" t="str">
        <f t="shared" si="55"/>
        <v/>
      </c>
      <c r="AA53" s="141"/>
      <c r="AB53" s="141"/>
      <c r="AC53" s="141"/>
      <c r="AD53" s="143" t="str">
        <f>IFERROR(IF(AND(W52="Probabilidad",W53="Probabilidad"),(AF52-(+AF52*Z53)),IF(AND(W52="Impacto",W53="Probabilidad"),(AF51-(+AF51*Z53)),IF(W53="Impacto",AF52,""))),"")</f>
        <v/>
      </c>
      <c r="AE53" s="150" t="str">
        <f t="shared" si="1"/>
        <v/>
      </c>
      <c r="AF53" s="142" t="str">
        <f t="shared" si="56"/>
        <v/>
      </c>
      <c r="AG53" s="150" t="str">
        <f t="shared" si="3"/>
        <v/>
      </c>
      <c r="AH53" s="142" t="str">
        <f>IFERROR(IF(AND(W52="Impacto",W53="Impacto"),(AH52-(+AH52*Z53)),IF(AND(W52="Probabilidad",W53="Impacto"),(AH51-(+AH51*Z53)),IF(W53="Probabilidad",AH52,""))),"")</f>
        <v/>
      </c>
      <c r="AI53" s="151" t="str">
        <f t="shared" si="57"/>
        <v/>
      </c>
      <c r="AJ53" s="390"/>
      <c r="AK53" s="146"/>
      <c r="AL53" s="145"/>
      <c r="AM53" s="140"/>
      <c r="AN53" s="140"/>
      <c r="AO53" s="347"/>
      <c r="AP53" s="347"/>
      <c r="AQ53" s="347"/>
      <c r="AR53" s="140"/>
      <c r="AS53" s="145"/>
      <c r="AT53" s="347"/>
      <c r="AU53" s="347"/>
      <c r="AV53" s="347"/>
      <c r="AW53" s="347"/>
      <c r="AX53" s="347"/>
      <c r="AY53" s="350"/>
      <c r="AZ53" s="147"/>
      <c r="BA53" s="147"/>
      <c r="BB53" s="147"/>
      <c r="BC53" s="147"/>
      <c r="BD53" s="147"/>
      <c r="BE53" s="147"/>
      <c r="BF53" s="147"/>
      <c r="BG53" s="147"/>
      <c r="BH53" s="147"/>
      <c r="BI53" s="147"/>
      <c r="BJ53" s="147"/>
      <c r="BK53" s="147"/>
      <c r="BL53" s="147"/>
      <c r="BM53" s="147"/>
      <c r="BN53" s="147"/>
      <c r="BO53" s="147"/>
      <c r="BP53" s="147"/>
    </row>
    <row r="54" spans="1:68" s="118" customFormat="1" ht="48.75" customHeight="1" x14ac:dyDescent="0.2">
      <c r="A54" s="376"/>
      <c r="B54" s="378"/>
      <c r="C54" s="359"/>
      <c r="D54" s="359"/>
      <c r="E54" s="347"/>
      <c r="F54" s="182"/>
      <c r="G54" s="271"/>
      <c r="H54" s="362"/>
      <c r="I54" s="402"/>
      <c r="J54" s="362"/>
      <c r="K54" s="185"/>
      <c r="L54" s="365"/>
      <c r="M54" s="405"/>
      <c r="N54" s="344"/>
      <c r="O54" s="384"/>
      <c r="P54" s="381"/>
      <c r="Q54" s="384">
        <f>IF(NOT(ISERROR(MATCH(P54,_xlfn.ANCHORARRAY(H65),0))),O67&amp;"Por favor no seleccionar los criterios de impacto",P54)</f>
        <v>0</v>
      </c>
      <c r="R54" s="344"/>
      <c r="S54" s="384"/>
      <c r="T54" s="399"/>
      <c r="U54" s="149">
        <v>4</v>
      </c>
      <c r="V54" s="117"/>
      <c r="W54" s="144" t="str">
        <f t="shared" ref="W54:W56" si="58">IF(OR(X54="Preventivo",X54="Detectivo"),"Probabilidad",IF(X54="Correctivo","Impacto",""))</f>
        <v/>
      </c>
      <c r="X54" s="141"/>
      <c r="Y54" s="141"/>
      <c r="Z54" s="142" t="str">
        <f t="shared" si="55"/>
        <v/>
      </c>
      <c r="AA54" s="141"/>
      <c r="AB54" s="141"/>
      <c r="AC54" s="141"/>
      <c r="AD54" s="143" t="str">
        <f t="shared" ref="AD54:AD56" si="59">IFERROR(IF(AND(W53="Probabilidad",W54="Probabilidad"),(AF53-(+AF53*Z54)),IF(AND(W53="Impacto",W54="Probabilidad"),(AF52-(+AF52*Z54)),IF(W54="Impacto",AF53,""))),"")</f>
        <v/>
      </c>
      <c r="AE54" s="150" t="str">
        <f t="shared" si="1"/>
        <v/>
      </c>
      <c r="AF54" s="142" t="str">
        <f t="shared" si="56"/>
        <v/>
      </c>
      <c r="AG54" s="150" t="str">
        <f t="shared" si="3"/>
        <v/>
      </c>
      <c r="AH54" s="142" t="str">
        <f t="shared" ref="AH54:AH56" si="60">IFERROR(IF(AND(W53="Impacto",W54="Impacto"),(AH53-(+AH53*Z54)),IF(AND(W53="Probabilidad",W54="Impacto"),(AH52-(+AH52*Z54)),IF(W54="Probabilidad",AH53,""))),"")</f>
        <v/>
      </c>
      <c r="AI54" s="151" t="str">
        <f>IFERROR(IF(OR(AND(AE54="Muy Baja",AG54="Leve"),AND(AE54="Muy Baja",AG54="Menor"),AND(AE54="Baja",AG54="Leve")),"Bajo",IF(OR(AND(AE54="Muy baja",AG54="Moderado"),AND(AE54="Baja",AG54="Menor"),AND(AE54="Baja",AG54="Moderado"),AND(AE54="Media",AG54="Leve"),AND(AE54="Media",AG54="Menor"),AND(AE54="Media",AG54="Moderado"),AND(AE54="Alta",AG54="Leve"),AND(AE54="Alta",AG54="Menor")),"Moderado",IF(OR(AND(AE54="Muy Baja",AG54="Mayor"),AND(AE54="Baja",AG54="Mayor"),AND(AE54="Media",AG54="Mayor"),AND(AE54="Alta",AG54="Moderado"),AND(AE54="Alta",AG54="Mayor"),AND(AE54="Muy Alta",AG54="Leve"),AND(AE54="Muy Alta",AG54="Menor"),AND(AE54="Muy Alta",AG54="Moderado"),AND(AE54="Muy Alta",AG54="Mayor")),"Alto",IF(OR(AND(AE54="Muy Baja",AG54="Catastrófico"),AND(AE54="Baja",AG54="Catastrófico"),AND(AE54="Media",AG54="Catastrófico"),AND(AE54="Alta",AG54="Catastrófico"),AND(AE54="Muy Alta",AG54="Catastrófico")),"Extremo","")))),"")</f>
        <v/>
      </c>
      <c r="AJ54" s="390"/>
      <c r="AK54" s="146"/>
      <c r="AL54" s="145"/>
      <c r="AM54" s="140"/>
      <c r="AN54" s="140"/>
      <c r="AO54" s="347"/>
      <c r="AP54" s="347"/>
      <c r="AQ54" s="347"/>
      <c r="AR54" s="140"/>
      <c r="AS54" s="145"/>
      <c r="AT54" s="347"/>
      <c r="AU54" s="347"/>
      <c r="AV54" s="347"/>
      <c r="AW54" s="347"/>
      <c r="AX54" s="347"/>
      <c r="AY54" s="350"/>
      <c r="AZ54" s="147"/>
      <c r="BA54" s="147"/>
      <c r="BB54" s="147"/>
      <c r="BC54" s="147"/>
      <c r="BD54" s="147"/>
      <c r="BE54" s="147"/>
      <c r="BF54" s="147"/>
      <c r="BG54" s="147"/>
      <c r="BH54" s="147"/>
      <c r="BI54" s="147"/>
      <c r="BJ54" s="147"/>
      <c r="BK54" s="147"/>
      <c r="BL54" s="147"/>
      <c r="BM54" s="147"/>
      <c r="BN54" s="147"/>
      <c r="BO54" s="147"/>
      <c r="BP54" s="147"/>
    </row>
    <row r="55" spans="1:68" s="118" customFormat="1" ht="48.75" customHeight="1" x14ac:dyDescent="0.2">
      <c r="A55" s="376"/>
      <c r="B55" s="378"/>
      <c r="C55" s="359"/>
      <c r="D55" s="359"/>
      <c r="E55" s="347"/>
      <c r="F55" s="182"/>
      <c r="G55" s="271"/>
      <c r="H55" s="362"/>
      <c r="I55" s="402"/>
      <c r="J55" s="362"/>
      <c r="K55" s="185"/>
      <c r="L55" s="365"/>
      <c r="M55" s="405"/>
      <c r="N55" s="344"/>
      <c r="O55" s="384"/>
      <c r="P55" s="381"/>
      <c r="Q55" s="384">
        <f>IF(NOT(ISERROR(MATCH(P55,_xlfn.ANCHORARRAY(H66),0))),O68&amp;"Por favor no seleccionar los criterios de impacto",P55)</f>
        <v>0</v>
      </c>
      <c r="R55" s="344"/>
      <c r="S55" s="384"/>
      <c r="T55" s="399"/>
      <c r="U55" s="149">
        <v>5</v>
      </c>
      <c r="V55" s="117"/>
      <c r="W55" s="144" t="str">
        <f t="shared" si="58"/>
        <v/>
      </c>
      <c r="X55" s="141"/>
      <c r="Y55" s="141"/>
      <c r="Z55" s="142" t="str">
        <f t="shared" si="55"/>
        <v/>
      </c>
      <c r="AA55" s="141"/>
      <c r="AB55" s="141"/>
      <c r="AC55" s="141"/>
      <c r="AD55" s="143" t="str">
        <f t="shared" si="59"/>
        <v/>
      </c>
      <c r="AE55" s="150" t="str">
        <f t="shared" si="1"/>
        <v/>
      </c>
      <c r="AF55" s="142" t="str">
        <f t="shared" si="56"/>
        <v/>
      </c>
      <c r="AG55" s="150" t="str">
        <f t="shared" si="3"/>
        <v/>
      </c>
      <c r="AH55" s="142" t="str">
        <f t="shared" si="60"/>
        <v/>
      </c>
      <c r="AI55" s="151" t="str">
        <f t="shared" ref="AI55:AI56" si="61">IFERROR(IF(OR(AND(AE55="Muy Baja",AG55="Leve"),AND(AE55="Muy Baja",AG55="Menor"),AND(AE55="Baja",AG55="Leve")),"Bajo",IF(OR(AND(AE55="Muy baja",AG55="Moderado"),AND(AE55="Baja",AG55="Menor"),AND(AE55="Baja",AG55="Moderado"),AND(AE55="Media",AG55="Leve"),AND(AE55="Media",AG55="Menor"),AND(AE55="Media",AG55="Moderado"),AND(AE55="Alta",AG55="Leve"),AND(AE55="Alta",AG55="Menor")),"Moderado",IF(OR(AND(AE55="Muy Baja",AG55="Mayor"),AND(AE55="Baja",AG55="Mayor"),AND(AE55="Media",AG55="Mayor"),AND(AE55="Alta",AG55="Moderado"),AND(AE55="Alta",AG55="Mayor"),AND(AE55="Muy Alta",AG55="Leve"),AND(AE55="Muy Alta",AG55="Menor"),AND(AE55="Muy Alta",AG55="Moderado"),AND(AE55="Muy Alta",AG55="Mayor")),"Alto",IF(OR(AND(AE55="Muy Baja",AG55="Catastrófico"),AND(AE55="Baja",AG55="Catastrófico"),AND(AE55="Media",AG55="Catastrófico"),AND(AE55="Alta",AG55="Catastrófico"),AND(AE55="Muy Alta",AG55="Catastrófico")),"Extremo","")))),"")</f>
        <v/>
      </c>
      <c r="AJ55" s="390"/>
      <c r="AK55" s="146"/>
      <c r="AL55" s="145"/>
      <c r="AM55" s="140"/>
      <c r="AN55" s="140"/>
      <c r="AO55" s="347"/>
      <c r="AP55" s="347"/>
      <c r="AQ55" s="347"/>
      <c r="AR55" s="140"/>
      <c r="AS55" s="145"/>
      <c r="AT55" s="347"/>
      <c r="AU55" s="347"/>
      <c r="AV55" s="347"/>
      <c r="AW55" s="347"/>
      <c r="AX55" s="347"/>
      <c r="AY55" s="350"/>
      <c r="AZ55" s="147"/>
      <c r="BA55" s="147"/>
      <c r="BB55" s="147"/>
      <c r="BC55" s="147"/>
      <c r="BD55" s="147"/>
      <c r="BE55" s="147"/>
      <c r="BF55" s="147"/>
      <c r="BG55" s="147"/>
      <c r="BH55" s="147"/>
      <c r="BI55" s="147"/>
      <c r="BJ55" s="147"/>
      <c r="BK55" s="147"/>
      <c r="BL55" s="147"/>
      <c r="BM55" s="147"/>
      <c r="BN55" s="147"/>
      <c r="BO55" s="147"/>
      <c r="BP55" s="147"/>
    </row>
    <row r="56" spans="1:68" s="118" customFormat="1" ht="48.75" customHeight="1" thickBot="1" x14ac:dyDescent="0.25">
      <c r="A56" s="377"/>
      <c r="B56" s="379"/>
      <c r="C56" s="360"/>
      <c r="D56" s="360"/>
      <c r="E56" s="348"/>
      <c r="F56" s="179"/>
      <c r="G56" s="273"/>
      <c r="H56" s="363"/>
      <c r="I56" s="403"/>
      <c r="J56" s="363"/>
      <c r="K56" s="186"/>
      <c r="L56" s="366"/>
      <c r="M56" s="406"/>
      <c r="N56" s="345"/>
      <c r="O56" s="385"/>
      <c r="P56" s="382"/>
      <c r="Q56" s="385">
        <f>IF(NOT(ISERROR(MATCH(P56,_xlfn.ANCHORARRAY(H67),0))),#REF!&amp;"Por favor no seleccionar los criterios de impacto",P56)</f>
        <v>0</v>
      </c>
      <c r="R56" s="345"/>
      <c r="S56" s="385"/>
      <c r="T56" s="400"/>
      <c r="U56" s="165">
        <v>6</v>
      </c>
      <c r="V56" s="281"/>
      <c r="W56" s="166" t="str">
        <f t="shared" si="58"/>
        <v/>
      </c>
      <c r="X56" s="167"/>
      <c r="Y56" s="167"/>
      <c r="Z56" s="168" t="str">
        <f t="shared" si="55"/>
        <v/>
      </c>
      <c r="AA56" s="167"/>
      <c r="AB56" s="167"/>
      <c r="AC56" s="167"/>
      <c r="AD56" s="169" t="str">
        <f t="shared" si="59"/>
        <v/>
      </c>
      <c r="AE56" s="170" t="str">
        <f t="shared" si="1"/>
        <v/>
      </c>
      <c r="AF56" s="168" t="str">
        <f t="shared" si="56"/>
        <v/>
      </c>
      <c r="AG56" s="170" t="str">
        <f t="shared" si="3"/>
        <v/>
      </c>
      <c r="AH56" s="168" t="str">
        <f t="shared" si="60"/>
        <v/>
      </c>
      <c r="AI56" s="171" t="str">
        <f t="shared" si="61"/>
        <v/>
      </c>
      <c r="AJ56" s="391"/>
      <c r="AK56" s="172"/>
      <c r="AL56" s="173"/>
      <c r="AM56" s="174"/>
      <c r="AN56" s="174"/>
      <c r="AO56" s="348"/>
      <c r="AP56" s="348"/>
      <c r="AQ56" s="348"/>
      <c r="AR56" s="174"/>
      <c r="AS56" s="173"/>
      <c r="AT56" s="348"/>
      <c r="AU56" s="348"/>
      <c r="AV56" s="348"/>
      <c r="AW56" s="348"/>
      <c r="AX56" s="348"/>
      <c r="AY56" s="351"/>
      <c r="AZ56" s="147"/>
      <c r="BA56" s="147"/>
      <c r="BB56" s="147"/>
      <c r="BC56" s="147"/>
      <c r="BD56" s="147"/>
      <c r="BE56" s="147"/>
      <c r="BF56" s="147"/>
      <c r="BG56" s="147"/>
      <c r="BH56" s="147"/>
      <c r="BI56" s="147"/>
      <c r="BJ56" s="147"/>
      <c r="BK56" s="147"/>
      <c r="BL56" s="147"/>
      <c r="BM56" s="147"/>
      <c r="BN56" s="147"/>
      <c r="BO56" s="147"/>
      <c r="BP56" s="147"/>
    </row>
    <row r="57" spans="1:68" s="118" customFormat="1" ht="48.75" customHeight="1" x14ac:dyDescent="0.2">
      <c r="A57" s="375">
        <v>9</v>
      </c>
      <c r="B57" s="407"/>
      <c r="C57" s="358"/>
      <c r="D57" s="358"/>
      <c r="E57" s="346"/>
      <c r="F57" s="178"/>
      <c r="G57" s="272"/>
      <c r="H57" s="368"/>
      <c r="I57" s="401"/>
      <c r="J57" s="368"/>
      <c r="K57" s="184"/>
      <c r="L57" s="364"/>
      <c r="M57" s="404"/>
      <c r="N57" s="343" t="str">
        <f>IF(M57&lt;=0,"",IF(M57&lt;=2,"Muy Baja",IF(M57&lt;=24,"Baja",IF(M57&lt;=500,"Media",IF(M57&lt;=5000,"Alta","Muy Alta")))))</f>
        <v/>
      </c>
      <c r="O57" s="383" t="str">
        <f>IF(N57="","",IF(N57="Muy Baja",0.2,IF(N57="Baja",0.4,IF(N57="Media",0.6,IF(N57="Alta",0.8,IF(N57="Muy Alta",1,))))))</f>
        <v/>
      </c>
      <c r="P57" s="380"/>
      <c r="Q57" s="383">
        <f>IF(NOT(ISERROR(MATCH(P57,'Tabla Impacto'!$B$221:$B$223,0))),'Tabla Impacto'!$F$223&amp;"Por favor no seleccionar los criterios de impacto(Afectación Económica o presupuestal y Pérdida Reputacional)",P57)</f>
        <v>0</v>
      </c>
      <c r="R57" s="343" t="str">
        <f>IF(OR(Q57='Tabla Impacto'!$C$11,Q57='Tabla Impacto'!$D$11),"Leve",IF(OR(Q57='Tabla Impacto'!$C$12,Q57='Tabla Impacto'!$D$12),"Menor",IF(OR(Q57='Tabla Impacto'!$C$13,Q57='Tabla Impacto'!$D$13),"Moderado",IF(OR(Q57='Tabla Impacto'!$C$14,Q57='Tabla Impacto'!$D$14),"Mayor",IF(OR(Q57='Tabla Impacto'!$C$15,Q57='Tabla Impacto'!$D$15),"Catastrófico","")))))</f>
        <v/>
      </c>
      <c r="S57" s="383" t="str">
        <f>IF(R57="","",IF(R57="Leve",0.2,IF(R57="Menor",0.4,IF(R57="Moderado",0.6,IF(R57="Mayor",0.8,IF(R57="Catastrófico",1,))))))</f>
        <v/>
      </c>
      <c r="T57" s="398" t="str">
        <f>IF(OR(AND(N57="Muy Baja",R57="Leve"),AND(N57="Muy Baja",R57="Menor"),AND(N57="Baja",R57="Leve")),"Bajo",IF(OR(AND(N57="Muy baja",R57="Moderado"),AND(N57="Baja",R57="Menor"),AND(N57="Baja",R57="Moderado"),AND(N57="Media",R57="Leve"),AND(N57="Media",R57="Menor"),AND(N57="Media",R57="Moderado"),AND(N57="Alta",R57="Leve"),AND(N57="Alta",R57="Menor")),"Moderado",IF(OR(AND(N57="Muy Baja",R57="Mayor"),AND(N57="Baja",R57="Mayor"),AND(N57="Media",R57="Mayor"),AND(N57="Alta",R57="Moderado"),AND(N57="Alta",R57="Mayor"),AND(N57="Muy Alta",R57="Leve"),AND(N57="Muy Alta",R57="Menor"),AND(N57="Muy Alta",R57="Moderado"),AND(N57="Muy Alta",R57="Mayor")),"Alto",IF(OR(AND(N57="Muy Baja",R57="Catastrófico"),AND(N57="Baja",R57="Catastrófico"),AND(N57="Media",R57="Catastrófico"),AND(N57="Alta",R57="Catastrófico"),AND(N57="Muy Alta",R57="Catastrófico")),"Extremo",""))))</f>
        <v/>
      </c>
      <c r="U57" s="155">
        <v>1</v>
      </c>
      <c r="V57" s="279"/>
      <c r="W57" s="156" t="str">
        <f>IF(OR(X57="Preventivo",X57="Detectivo"),"Probabilidad",IF(X57="Correctivo","Impacto",""))</f>
        <v/>
      </c>
      <c r="X57" s="157"/>
      <c r="Y57" s="157"/>
      <c r="Z57" s="158" t="str">
        <f>IF(AND(X57="Preventivo",Y57="Automático"),"50%",IF(AND(X57="Preventivo",Y57="Manual"),"40%",IF(AND(X57="Detectivo",Y57="Automático"),"40%",IF(AND(X57="Detectivo",Y57="Manual"),"30%",IF(AND(X57="Correctivo",Y57="Automático"),"35%",IF(AND(X57="Correctivo",Y57="Manual"),"25%",""))))))</f>
        <v/>
      </c>
      <c r="AA57" s="157"/>
      <c r="AB57" s="157"/>
      <c r="AC57" s="157"/>
      <c r="AD57" s="159" t="str">
        <f>IFERROR(IF(W57="Probabilidad",(O57-(+O57*Z57)),IF(W57="Impacto",O57,"")),"")</f>
        <v/>
      </c>
      <c r="AE57" s="160" t="str">
        <f>IFERROR(IF(AD57="","",IF(AD57&lt;=0.2,"Muy Baja",IF(AD57&lt;=0.4,"Baja",IF(AD57&lt;=0.6,"Media",IF(AD57&lt;=0.8,"Alta","Muy Alta"))))),"")</f>
        <v/>
      </c>
      <c r="AF57" s="158" t="str">
        <f>+AD57</f>
        <v/>
      </c>
      <c r="AG57" s="160" t="str">
        <f>IFERROR(IF(AH57="","",IF(AH57&lt;=0.2,"Leve",IF(AH57&lt;=0.4,"Menor",IF(AH57&lt;=0.6,"Moderado",IF(AH57&lt;=0.8,"Mayor","Catastrófico"))))),"")</f>
        <v/>
      </c>
      <c r="AH57" s="158" t="str">
        <f>IFERROR(IF(W57="Impacto",(S57-(+S57*Z57)),IF(W57="Probabilidad",S57,"")),"")</f>
        <v/>
      </c>
      <c r="AI57" s="161" t="str">
        <f>IFERROR(IF(OR(AND(AE57="Muy Baja",AG57="Leve"),AND(AE57="Muy Baja",AG57="Menor"),AND(AE57="Baja",AG57="Leve")),"Bajo",IF(OR(AND(AE57="Muy baja",AG57="Moderado"),AND(AE57="Baja",AG57="Menor"),AND(AE57="Baja",AG57="Moderado"),AND(AE57="Media",AG57="Leve"),AND(AE57="Media",AG57="Menor"),AND(AE57="Media",AG57="Moderado"),AND(AE57="Alta",AG57="Leve"),AND(AE57="Alta",AG57="Menor")),"Moderado",IF(OR(AND(AE57="Muy Baja",AG57="Mayor"),AND(AE57="Baja",AG57="Mayor"),AND(AE57="Media",AG57="Mayor"),AND(AE57="Alta",AG57="Moderado"),AND(AE57="Alta",AG57="Mayor"),AND(AE57="Muy Alta",AG57="Leve"),AND(AE57="Muy Alta",AG57="Menor"),AND(AE57="Muy Alta",AG57="Moderado"),AND(AE57="Muy Alta",AG57="Mayor")),"Alto",IF(OR(AND(AE57="Muy Baja",AG57="Catastrófico"),AND(AE57="Baja",AG57="Catastrófico"),AND(AE57="Media",AG57="Catastrófico"),AND(AE57="Alta",AG57="Catastrófico"),AND(AE57="Muy Alta",AG57="Catastrófico")),"Extremo","")))),"")</f>
        <v/>
      </c>
      <c r="AJ57" s="389"/>
      <c r="AK57" s="162"/>
      <c r="AL57" s="163"/>
      <c r="AM57" s="164"/>
      <c r="AN57" s="164"/>
      <c r="AO57" s="346"/>
      <c r="AP57" s="346"/>
      <c r="AQ57" s="346"/>
      <c r="AR57" s="164"/>
      <c r="AS57" s="163"/>
      <c r="AT57" s="346"/>
      <c r="AU57" s="346"/>
      <c r="AV57" s="367"/>
      <c r="AW57" s="346"/>
      <c r="AX57" s="346"/>
      <c r="AY57" s="349"/>
      <c r="AZ57" s="147"/>
      <c r="BA57" s="147"/>
      <c r="BB57" s="147"/>
      <c r="BC57" s="147"/>
      <c r="BD57" s="147"/>
      <c r="BE57" s="147"/>
      <c r="BF57" s="147"/>
      <c r="BG57" s="147"/>
      <c r="BH57" s="147"/>
      <c r="BI57" s="147"/>
      <c r="BJ57" s="147"/>
      <c r="BK57" s="147"/>
      <c r="BL57" s="147"/>
      <c r="BM57" s="147"/>
      <c r="BN57" s="147"/>
      <c r="BO57" s="147"/>
      <c r="BP57" s="147"/>
    </row>
    <row r="58" spans="1:68" s="118" customFormat="1" ht="48.75" customHeight="1" x14ac:dyDescent="0.2">
      <c r="A58" s="376"/>
      <c r="B58" s="378"/>
      <c r="C58" s="359"/>
      <c r="D58" s="359"/>
      <c r="E58" s="347"/>
      <c r="F58" s="182"/>
      <c r="G58" s="271"/>
      <c r="H58" s="362"/>
      <c r="I58" s="402"/>
      <c r="J58" s="362"/>
      <c r="K58" s="185"/>
      <c r="L58" s="365"/>
      <c r="M58" s="405"/>
      <c r="N58" s="344"/>
      <c r="O58" s="384"/>
      <c r="P58" s="381"/>
      <c r="Q58" s="384">
        <f>IF(NOT(ISERROR(MATCH(P58,_xlfn.ANCHORARRAY(#REF!),0))),#REF!&amp;"Por favor no seleccionar los criterios de impacto",P58)</f>
        <v>0</v>
      </c>
      <c r="R58" s="344"/>
      <c r="S58" s="384"/>
      <c r="T58" s="399"/>
      <c r="U58" s="149">
        <v>2</v>
      </c>
      <c r="V58" s="117"/>
      <c r="W58" s="144" t="str">
        <f>IF(OR(X58="Preventivo",X58="Detectivo"),"Probabilidad",IF(X58="Correctivo","Impacto",""))</f>
        <v/>
      </c>
      <c r="X58" s="141"/>
      <c r="Y58" s="141"/>
      <c r="Z58" s="142" t="str">
        <f t="shared" ref="Z58:Z62" si="62">IF(AND(X58="Preventivo",Y58="Automático"),"50%",IF(AND(X58="Preventivo",Y58="Manual"),"40%",IF(AND(X58="Detectivo",Y58="Automático"),"40%",IF(AND(X58="Detectivo",Y58="Manual"),"30%",IF(AND(X58="Correctivo",Y58="Automático"),"35%",IF(AND(X58="Correctivo",Y58="Manual"),"25%",""))))))</f>
        <v/>
      </c>
      <c r="AA58" s="141"/>
      <c r="AB58" s="141"/>
      <c r="AC58" s="141"/>
      <c r="AD58" s="143" t="str">
        <f>IFERROR(IF(AND(W57="Probabilidad",W58="Probabilidad"),(AF57-(+AF57*Z58)),IF(W58="Probabilidad",(O57-(+O57*Z58)),IF(W58="Impacto",AF57,""))),"")</f>
        <v/>
      </c>
      <c r="AE58" s="150" t="str">
        <f t="shared" si="1"/>
        <v/>
      </c>
      <c r="AF58" s="142" t="str">
        <f t="shared" ref="AF58:AF62" si="63">+AD58</f>
        <v/>
      </c>
      <c r="AG58" s="150" t="str">
        <f t="shared" si="3"/>
        <v/>
      </c>
      <c r="AH58" s="142" t="str">
        <f>IFERROR(IF(AND(W57="Impacto",W58="Impacto"),(AH51-(+AH51*Z58)),IF(W58="Impacto",($S$57-(+$S$57*Z58)),IF(W58="Probabilidad",AH51,""))),"")</f>
        <v/>
      </c>
      <c r="AI58" s="151" t="str">
        <f t="shared" ref="AI58:AI59" si="64">IFERROR(IF(OR(AND(AE58="Muy Baja",AG58="Leve"),AND(AE58="Muy Baja",AG58="Menor"),AND(AE58="Baja",AG58="Leve")),"Bajo",IF(OR(AND(AE58="Muy baja",AG58="Moderado"),AND(AE58="Baja",AG58="Menor"),AND(AE58="Baja",AG58="Moderado"),AND(AE58="Media",AG58="Leve"),AND(AE58="Media",AG58="Menor"),AND(AE58="Media",AG58="Moderado"),AND(AE58="Alta",AG58="Leve"),AND(AE58="Alta",AG58="Menor")),"Moderado",IF(OR(AND(AE58="Muy Baja",AG58="Mayor"),AND(AE58="Baja",AG58="Mayor"),AND(AE58="Media",AG58="Mayor"),AND(AE58="Alta",AG58="Moderado"),AND(AE58="Alta",AG58="Mayor"),AND(AE58="Muy Alta",AG58="Leve"),AND(AE58="Muy Alta",AG58="Menor"),AND(AE58="Muy Alta",AG58="Moderado"),AND(AE58="Muy Alta",AG58="Mayor")),"Alto",IF(OR(AND(AE58="Muy Baja",AG58="Catastrófico"),AND(AE58="Baja",AG58="Catastrófico"),AND(AE58="Media",AG58="Catastrófico"),AND(AE58="Alta",AG58="Catastrófico"),AND(AE58="Muy Alta",AG58="Catastrófico")),"Extremo","")))),"")</f>
        <v/>
      </c>
      <c r="AJ58" s="390"/>
      <c r="AK58" s="146"/>
      <c r="AL58" s="145"/>
      <c r="AM58" s="140"/>
      <c r="AN58" s="140"/>
      <c r="AO58" s="347"/>
      <c r="AP58" s="347"/>
      <c r="AQ58" s="347"/>
      <c r="AR58" s="140"/>
      <c r="AS58" s="145"/>
      <c r="AT58" s="347"/>
      <c r="AU58" s="347"/>
      <c r="AV58" s="347"/>
      <c r="AW58" s="347"/>
      <c r="AX58" s="347"/>
      <c r="AY58" s="350"/>
      <c r="AZ58" s="147"/>
      <c r="BA58" s="147"/>
      <c r="BB58" s="147"/>
      <c r="BC58" s="147"/>
      <c r="BD58" s="147"/>
      <c r="BE58" s="147"/>
      <c r="BF58" s="147"/>
      <c r="BG58" s="147"/>
      <c r="BH58" s="147"/>
      <c r="BI58" s="147"/>
      <c r="BJ58" s="147"/>
      <c r="BK58" s="147"/>
      <c r="BL58" s="147"/>
      <c r="BM58" s="147"/>
      <c r="BN58" s="147"/>
      <c r="BO58" s="147"/>
      <c r="BP58" s="147"/>
    </row>
    <row r="59" spans="1:68" s="118" customFormat="1" ht="48.75" customHeight="1" x14ac:dyDescent="0.2">
      <c r="A59" s="376"/>
      <c r="B59" s="378"/>
      <c r="C59" s="359"/>
      <c r="D59" s="359"/>
      <c r="E59" s="347"/>
      <c r="F59" s="182"/>
      <c r="G59" s="271"/>
      <c r="H59" s="362"/>
      <c r="I59" s="402"/>
      <c r="J59" s="362"/>
      <c r="K59" s="185"/>
      <c r="L59" s="365"/>
      <c r="M59" s="405"/>
      <c r="N59" s="344"/>
      <c r="O59" s="384"/>
      <c r="P59" s="381"/>
      <c r="Q59" s="384">
        <f>IF(NOT(ISERROR(MATCH(P59,_xlfn.ANCHORARRAY(H69),0))),O70&amp;"Por favor no seleccionar los criterios de impacto",P59)</f>
        <v>0</v>
      </c>
      <c r="R59" s="344"/>
      <c r="S59" s="384"/>
      <c r="T59" s="399"/>
      <c r="U59" s="149">
        <v>3</v>
      </c>
      <c r="V59" s="117"/>
      <c r="W59" s="144" t="str">
        <f>IF(OR(X59="Preventivo",X59="Detectivo"),"Probabilidad",IF(X59="Correctivo","Impacto",""))</f>
        <v/>
      </c>
      <c r="X59" s="141"/>
      <c r="Y59" s="141"/>
      <c r="Z59" s="142" t="str">
        <f t="shared" si="62"/>
        <v/>
      </c>
      <c r="AA59" s="141"/>
      <c r="AB59" s="141"/>
      <c r="AC59" s="141"/>
      <c r="AD59" s="143" t="str">
        <f>IFERROR(IF(AND(W58="Probabilidad",W59="Probabilidad"),(AF58-(+AF58*Z59)),IF(AND(W58="Impacto",W59="Probabilidad"),(AF57-(+AF57*Z59)),IF(W59="Impacto",AF58,""))),"")</f>
        <v/>
      </c>
      <c r="AE59" s="150" t="str">
        <f t="shared" si="1"/>
        <v/>
      </c>
      <c r="AF59" s="142" t="str">
        <f t="shared" si="63"/>
        <v/>
      </c>
      <c r="AG59" s="150" t="str">
        <f t="shared" si="3"/>
        <v/>
      </c>
      <c r="AH59" s="142" t="str">
        <f>IFERROR(IF(AND(W58="Impacto",W59="Impacto"),(AH58-(+AH58*Z59)),IF(AND(W58="Probabilidad",W59="Impacto"),(AH57-(+AH57*Z59)),IF(W59="Probabilidad",AH58,""))),"")</f>
        <v/>
      </c>
      <c r="AI59" s="151" t="str">
        <f t="shared" si="64"/>
        <v/>
      </c>
      <c r="AJ59" s="390"/>
      <c r="AK59" s="146"/>
      <c r="AL59" s="145"/>
      <c r="AM59" s="140"/>
      <c r="AN59" s="140"/>
      <c r="AO59" s="347"/>
      <c r="AP59" s="347"/>
      <c r="AQ59" s="347"/>
      <c r="AR59" s="140"/>
      <c r="AS59" s="145"/>
      <c r="AT59" s="347"/>
      <c r="AU59" s="347"/>
      <c r="AV59" s="347"/>
      <c r="AW59" s="347"/>
      <c r="AX59" s="347"/>
      <c r="AY59" s="350"/>
      <c r="AZ59" s="147"/>
      <c r="BA59" s="147"/>
      <c r="BB59" s="147"/>
      <c r="BC59" s="147"/>
      <c r="BD59" s="147"/>
      <c r="BE59" s="147"/>
      <c r="BF59" s="147"/>
      <c r="BG59" s="147"/>
      <c r="BH59" s="147"/>
      <c r="BI59" s="147"/>
      <c r="BJ59" s="147"/>
      <c r="BK59" s="147"/>
      <c r="BL59" s="147"/>
      <c r="BM59" s="147"/>
      <c r="BN59" s="147"/>
      <c r="BO59" s="147"/>
      <c r="BP59" s="147"/>
    </row>
    <row r="60" spans="1:68" s="118" customFormat="1" ht="48.75" customHeight="1" x14ac:dyDescent="0.2">
      <c r="A60" s="376"/>
      <c r="B60" s="378"/>
      <c r="C60" s="359"/>
      <c r="D60" s="359"/>
      <c r="E60" s="347"/>
      <c r="F60" s="182"/>
      <c r="G60" s="271"/>
      <c r="H60" s="362"/>
      <c r="I60" s="402"/>
      <c r="J60" s="362"/>
      <c r="K60" s="185"/>
      <c r="L60" s="365"/>
      <c r="M60" s="405"/>
      <c r="N60" s="344"/>
      <c r="O60" s="384"/>
      <c r="P60" s="381"/>
      <c r="Q60" s="384">
        <f>IF(NOT(ISERROR(MATCH(P60,_xlfn.ANCHORARRAY(#REF!),0))),O71&amp;"Por favor no seleccionar los criterios de impacto",P60)</f>
        <v>0</v>
      </c>
      <c r="R60" s="344"/>
      <c r="S60" s="384"/>
      <c r="T60" s="399"/>
      <c r="U60" s="149">
        <v>4</v>
      </c>
      <c r="V60" s="117"/>
      <c r="W60" s="144" t="str">
        <f t="shared" ref="W60:W62" si="65">IF(OR(X60="Preventivo",X60="Detectivo"),"Probabilidad",IF(X60="Correctivo","Impacto",""))</f>
        <v/>
      </c>
      <c r="X60" s="141"/>
      <c r="Y60" s="141"/>
      <c r="Z60" s="142" t="str">
        <f t="shared" si="62"/>
        <v/>
      </c>
      <c r="AA60" s="141"/>
      <c r="AB60" s="141"/>
      <c r="AC60" s="141"/>
      <c r="AD60" s="143" t="str">
        <f t="shared" ref="AD60:AD62" si="66">IFERROR(IF(AND(W59="Probabilidad",W60="Probabilidad"),(AF59-(+AF59*Z60)),IF(AND(W59="Impacto",W60="Probabilidad"),(AF58-(+AF58*Z60)),IF(W60="Impacto",AF59,""))),"")</f>
        <v/>
      </c>
      <c r="AE60" s="150" t="str">
        <f t="shared" si="1"/>
        <v/>
      </c>
      <c r="AF60" s="142" t="str">
        <f t="shared" si="63"/>
        <v/>
      </c>
      <c r="AG60" s="150" t="str">
        <f t="shared" si="3"/>
        <v/>
      </c>
      <c r="AH60" s="142" t="str">
        <f t="shared" ref="AH60:AH62" si="67">IFERROR(IF(AND(W59="Impacto",W60="Impacto"),(AH59-(+AH59*Z60)),IF(AND(W59="Probabilidad",W60="Impacto"),(AH58-(+AH58*Z60)),IF(W60="Probabilidad",AH59,""))),"")</f>
        <v/>
      </c>
      <c r="AI60" s="151" t="str">
        <f>IFERROR(IF(OR(AND(AE60="Muy Baja",AG60="Leve"),AND(AE60="Muy Baja",AG60="Menor"),AND(AE60="Baja",AG60="Leve")),"Bajo",IF(OR(AND(AE60="Muy baja",AG60="Moderado"),AND(AE60="Baja",AG60="Menor"),AND(AE60="Baja",AG60="Moderado"),AND(AE60="Media",AG60="Leve"),AND(AE60="Media",AG60="Menor"),AND(AE60="Media",AG60="Moderado"),AND(AE60="Alta",AG60="Leve"),AND(AE60="Alta",AG60="Menor")),"Moderado",IF(OR(AND(AE60="Muy Baja",AG60="Mayor"),AND(AE60="Baja",AG60="Mayor"),AND(AE60="Media",AG60="Mayor"),AND(AE60="Alta",AG60="Moderado"),AND(AE60="Alta",AG60="Mayor"),AND(AE60="Muy Alta",AG60="Leve"),AND(AE60="Muy Alta",AG60="Menor"),AND(AE60="Muy Alta",AG60="Moderado"),AND(AE60="Muy Alta",AG60="Mayor")),"Alto",IF(OR(AND(AE60="Muy Baja",AG60="Catastrófico"),AND(AE60="Baja",AG60="Catastrófico"),AND(AE60="Media",AG60="Catastrófico"),AND(AE60="Alta",AG60="Catastrófico"),AND(AE60="Muy Alta",AG60="Catastrófico")),"Extremo","")))),"")</f>
        <v/>
      </c>
      <c r="AJ60" s="390"/>
      <c r="AK60" s="146"/>
      <c r="AL60" s="145"/>
      <c r="AM60" s="140"/>
      <c r="AN60" s="140"/>
      <c r="AO60" s="347"/>
      <c r="AP60" s="347"/>
      <c r="AQ60" s="347"/>
      <c r="AR60" s="140"/>
      <c r="AS60" s="145"/>
      <c r="AT60" s="347"/>
      <c r="AU60" s="347"/>
      <c r="AV60" s="347"/>
      <c r="AW60" s="347"/>
      <c r="AX60" s="347"/>
      <c r="AY60" s="350"/>
      <c r="AZ60" s="147"/>
      <c r="BA60" s="147"/>
      <c r="BB60" s="147"/>
      <c r="BC60" s="147"/>
      <c r="BD60" s="147"/>
      <c r="BE60" s="147"/>
      <c r="BF60" s="147"/>
      <c r="BG60" s="147"/>
      <c r="BH60" s="147"/>
      <c r="BI60" s="147"/>
      <c r="BJ60" s="147"/>
      <c r="BK60" s="147"/>
      <c r="BL60" s="147"/>
      <c r="BM60" s="147"/>
      <c r="BN60" s="147"/>
      <c r="BO60" s="147"/>
      <c r="BP60" s="147"/>
    </row>
    <row r="61" spans="1:68" s="118" customFormat="1" ht="48.75" customHeight="1" x14ac:dyDescent="0.2">
      <c r="A61" s="376"/>
      <c r="B61" s="378"/>
      <c r="C61" s="359"/>
      <c r="D61" s="359"/>
      <c r="E61" s="347"/>
      <c r="F61" s="182"/>
      <c r="G61" s="271"/>
      <c r="H61" s="362"/>
      <c r="I61" s="402"/>
      <c r="J61" s="362"/>
      <c r="K61" s="185"/>
      <c r="L61" s="365"/>
      <c r="M61" s="405"/>
      <c r="N61" s="344"/>
      <c r="O61" s="384"/>
      <c r="P61" s="381"/>
      <c r="Q61" s="384">
        <f>IF(NOT(ISERROR(MATCH(P61,_xlfn.ANCHORARRAY(H70),0))),O72&amp;"Por favor no seleccionar los criterios de impacto",P61)</f>
        <v>0</v>
      </c>
      <c r="R61" s="344"/>
      <c r="S61" s="384"/>
      <c r="T61" s="399"/>
      <c r="U61" s="149">
        <v>5</v>
      </c>
      <c r="V61" s="117"/>
      <c r="W61" s="144" t="str">
        <f t="shared" si="65"/>
        <v/>
      </c>
      <c r="X61" s="141"/>
      <c r="Y61" s="141"/>
      <c r="Z61" s="142" t="str">
        <f t="shared" si="62"/>
        <v/>
      </c>
      <c r="AA61" s="141"/>
      <c r="AB61" s="141"/>
      <c r="AC61" s="141"/>
      <c r="AD61" s="143" t="str">
        <f t="shared" si="66"/>
        <v/>
      </c>
      <c r="AE61" s="150" t="str">
        <f t="shared" si="1"/>
        <v/>
      </c>
      <c r="AF61" s="142" t="str">
        <f t="shared" si="63"/>
        <v/>
      </c>
      <c r="AG61" s="150" t="str">
        <f t="shared" si="3"/>
        <v/>
      </c>
      <c r="AH61" s="142" t="str">
        <f t="shared" si="67"/>
        <v/>
      </c>
      <c r="AI61" s="151" t="str">
        <f t="shared" ref="AI61:AI62" si="68">IFERROR(IF(OR(AND(AE61="Muy Baja",AG61="Leve"),AND(AE61="Muy Baja",AG61="Menor"),AND(AE61="Baja",AG61="Leve")),"Bajo",IF(OR(AND(AE61="Muy baja",AG61="Moderado"),AND(AE61="Baja",AG61="Menor"),AND(AE61="Baja",AG61="Moderado"),AND(AE61="Media",AG61="Leve"),AND(AE61="Media",AG61="Menor"),AND(AE61="Media",AG61="Moderado"),AND(AE61="Alta",AG61="Leve"),AND(AE61="Alta",AG61="Menor")),"Moderado",IF(OR(AND(AE61="Muy Baja",AG61="Mayor"),AND(AE61="Baja",AG61="Mayor"),AND(AE61="Media",AG61="Mayor"),AND(AE61="Alta",AG61="Moderado"),AND(AE61="Alta",AG61="Mayor"),AND(AE61="Muy Alta",AG61="Leve"),AND(AE61="Muy Alta",AG61="Menor"),AND(AE61="Muy Alta",AG61="Moderado"),AND(AE61="Muy Alta",AG61="Mayor")),"Alto",IF(OR(AND(AE61="Muy Baja",AG61="Catastrófico"),AND(AE61="Baja",AG61="Catastrófico"),AND(AE61="Media",AG61="Catastrófico"),AND(AE61="Alta",AG61="Catastrófico"),AND(AE61="Muy Alta",AG61="Catastrófico")),"Extremo","")))),"")</f>
        <v/>
      </c>
      <c r="AJ61" s="390"/>
      <c r="AK61" s="146"/>
      <c r="AL61" s="145"/>
      <c r="AM61" s="140"/>
      <c r="AN61" s="140"/>
      <c r="AO61" s="347"/>
      <c r="AP61" s="347"/>
      <c r="AQ61" s="347"/>
      <c r="AR61" s="140"/>
      <c r="AS61" s="145"/>
      <c r="AT61" s="347"/>
      <c r="AU61" s="347"/>
      <c r="AV61" s="347"/>
      <c r="AW61" s="347"/>
      <c r="AX61" s="347"/>
      <c r="AY61" s="350"/>
      <c r="AZ61" s="147"/>
      <c r="BA61" s="147"/>
      <c r="BB61" s="147"/>
      <c r="BC61" s="147"/>
      <c r="BD61" s="147"/>
      <c r="BE61" s="147"/>
      <c r="BF61" s="147"/>
      <c r="BG61" s="147"/>
      <c r="BH61" s="147"/>
      <c r="BI61" s="147"/>
      <c r="BJ61" s="147"/>
      <c r="BK61" s="147"/>
      <c r="BL61" s="147"/>
      <c r="BM61" s="147"/>
      <c r="BN61" s="147"/>
      <c r="BO61" s="147"/>
      <c r="BP61" s="147"/>
    </row>
    <row r="62" spans="1:68" s="118" customFormat="1" ht="48.75" customHeight="1" thickBot="1" x14ac:dyDescent="0.25">
      <c r="A62" s="377"/>
      <c r="B62" s="379"/>
      <c r="C62" s="360"/>
      <c r="D62" s="360"/>
      <c r="E62" s="348"/>
      <c r="F62" s="179"/>
      <c r="G62" s="273"/>
      <c r="H62" s="363"/>
      <c r="I62" s="403"/>
      <c r="J62" s="363"/>
      <c r="K62" s="186"/>
      <c r="L62" s="366"/>
      <c r="M62" s="406"/>
      <c r="N62" s="345"/>
      <c r="O62" s="385"/>
      <c r="P62" s="382"/>
      <c r="Q62" s="385">
        <f>IF(NOT(ISERROR(MATCH(P62,_xlfn.ANCHORARRAY(H71),0))),O73&amp;"Por favor no seleccionar los criterios de impacto",P62)</f>
        <v>0</v>
      </c>
      <c r="R62" s="345"/>
      <c r="S62" s="385"/>
      <c r="T62" s="400"/>
      <c r="U62" s="165">
        <v>6</v>
      </c>
      <c r="V62" s="281"/>
      <c r="W62" s="166" t="str">
        <f t="shared" si="65"/>
        <v/>
      </c>
      <c r="X62" s="167"/>
      <c r="Y62" s="167"/>
      <c r="Z62" s="168" t="str">
        <f t="shared" si="62"/>
        <v/>
      </c>
      <c r="AA62" s="167"/>
      <c r="AB62" s="167"/>
      <c r="AC62" s="167"/>
      <c r="AD62" s="169" t="str">
        <f t="shared" si="66"/>
        <v/>
      </c>
      <c r="AE62" s="170" t="str">
        <f t="shared" si="1"/>
        <v/>
      </c>
      <c r="AF62" s="168" t="str">
        <f t="shared" si="63"/>
        <v/>
      </c>
      <c r="AG62" s="170" t="str">
        <f t="shared" si="3"/>
        <v/>
      </c>
      <c r="AH62" s="168" t="str">
        <f t="shared" si="67"/>
        <v/>
      </c>
      <c r="AI62" s="171" t="str">
        <f t="shared" si="68"/>
        <v/>
      </c>
      <c r="AJ62" s="391"/>
      <c r="AK62" s="172"/>
      <c r="AL62" s="173"/>
      <c r="AM62" s="174"/>
      <c r="AN62" s="174"/>
      <c r="AO62" s="348"/>
      <c r="AP62" s="348"/>
      <c r="AQ62" s="348"/>
      <c r="AR62" s="174"/>
      <c r="AS62" s="173"/>
      <c r="AT62" s="348"/>
      <c r="AU62" s="348"/>
      <c r="AV62" s="348"/>
      <c r="AW62" s="348"/>
      <c r="AX62" s="348"/>
      <c r="AY62" s="351"/>
      <c r="AZ62" s="147"/>
      <c r="BA62" s="147"/>
      <c r="BB62" s="147"/>
      <c r="BC62" s="147"/>
      <c r="BD62" s="147"/>
      <c r="BE62" s="147"/>
      <c r="BF62" s="147"/>
      <c r="BG62" s="147"/>
      <c r="BH62" s="147"/>
      <c r="BI62" s="147"/>
      <c r="BJ62" s="147"/>
      <c r="BK62" s="147"/>
      <c r="BL62" s="147"/>
      <c r="BM62" s="147"/>
      <c r="BN62" s="147"/>
      <c r="BO62" s="147"/>
      <c r="BP62" s="147"/>
    </row>
    <row r="63" spans="1:68" s="118" customFormat="1" ht="48.75" customHeight="1" x14ac:dyDescent="0.2">
      <c r="A63" s="375">
        <v>10</v>
      </c>
      <c r="B63" s="407"/>
      <c r="C63" s="358"/>
      <c r="D63" s="358"/>
      <c r="E63" s="346"/>
      <c r="F63" s="178"/>
      <c r="G63" s="272"/>
      <c r="H63" s="368"/>
      <c r="I63" s="401"/>
      <c r="J63" s="368"/>
      <c r="K63" s="184"/>
      <c r="L63" s="364"/>
      <c r="M63" s="404"/>
      <c r="N63" s="343" t="str">
        <f>IF(M63&lt;=0,"",IF(M63&lt;=2,"Muy Baja",IF(M63&lt;=24,"Baja",IF(M63&lt;=500,"Media",IF(M63&lt;=5000,"Alta","Muy Alta")))))</f>
        <v/>
      </c>
      <c r="O63" s="383" t="str">
        <f>IF(N63="","",IF(N63="Muy Baja",0.2,IF(N63="Baja",0.4,IF(N63="Media",0.6,IF(N63="Alta",0.8,IF(N63="Muy Alta",1,))))))</f>
        <v/>
      </c>
      <c r="P63" s="380"/>
      <c r="Q63" s="383">
        <f>IF(NOT(ISERROR(MATCH(P63,'Tabla Impacto'!$B$221:$B$223,0))),'Tabla Impacto'!$F$223&amp;"Por favor no seleccionar los criterios de impacto(Afectación Económica o presupuestal y Pérdida Reputacional)",P63)</f>
        <v>0</v>
      </c>
      <c r="R63" s="343" t="str">
        <f>IF(OR(Q63='Tabla Impacto'!$C$11,Q63='Tabla Impacto'!$D$11),"Leve",IF(OR(Q63='Tabla Impacto'!$C$12,Q63='Tabla Impacto'!$D$12),"Menor",IF(OR(Q63='Tabla Impacto'!$C$13,Q63='Tabla Impacto'!$D$13),"Moderado",IF(OR(Q63='Tabla Impacto'!$C$14,Q63='Tabla Impacto'!$D$14),"Mayor",IF(OR(Q63='Tabla Impacto'!$C$15,Q63='Tabla Impacto'!$D$15),"Catastrófico","")))))</f>
        <v/>
      </c>
      <c r="S63" s="383" t="str">
        <f>IF(R63="","",IF(R63="Leve",0.2,IF(R63="Menor",0.4,IF(R63="Moderado",0.6,IF(R63="Mayor",0.8,IF(R63="Catastrófico",1,))))))</f>
        <v/>
      </c>
      <c r="T63" s="398" t="str">
        <f>IF(OR(AND(N63="Muy Baja",R63="Leve"),AND(N63="Muy Baja",R63="Menor"),AND(N63="Baja",R63="Leve")),"Bajo",IF(OR(AND(N63="Muy baja",R63="Moderado"),AND(N63="Baja",R63="Menor"),AND(N63="Baja",R63="Moderado"),AND(N63="Media",R63="Leve"),AND(N63="Media",R63="Menor"),AND(N63="Media",R63="Moderado"),AND(N63="Alta",R63="Leve"),AND(N63="Alta",R63="Menor")),"Moderado",IF(OR(AND(N63="Muy Baja",R63="Mayor"),AND(N63="Baja",R63="Mayor"),AND(N63="Media",R63="Mayor"),AND(N63="Alta",R63="Moderado"),AND(N63="Alta",R63="Mayor"),AND(N63="Muy Alta",R63="Leve"),AND(N63="Muy Alta",R63="Menor"),AND(N63="Muy Alta",R63="Moderado"),AND(N63="Muy Alta",R63="Mayor")),"Alto",IF(OR(AND(N63="Muy Baja",R63="Catastrófico"),AND(N63="Baja",R63="Catastrófico"),AND(N63="Media",R63="Catastrófico"),AND(N63="Alta",R63="Catastrófico"),AND(N63="Muy Alta",R63="Catastrófico")),"Extremo",""))))</f>
        <v/>
      </c>
      <c r="U63" s="155">
        <v>1</v>
      </c>
      <c r="V63" s="279"/>
      <c r="W63" s="156" t="str">
        <f>IF(OR(X63="Preventivo",X63="Detectivo"),"Probabilidad",IF(X63="Correctivo","Impacto",""))</f>
        <v/>
      </c>
      <c r="X63" s="157"/>
      <c r="Y63" s="157"/>
      <c r="Z63" s="158" t="str">
        <f>IF(AND(X63="Preventivo",Y63="Automático"),"50%",IF(AND(X63="Preventivo",Y63="Manual"),"40%",IF(AND(X63="Detectivo",Y63="Automático"),"40%",IF(AND(X63="Detectivo",Y63="Manual"),"30%",IF(AND(X63="Correctivo",Y63="Automático"),"35%",IF(AND(X63="Correctivo",Y63="Manual"),"25%",""))))))</f>
        <v/>
      </c>
      <c r="AA63" s="157"/>
      <c r="AB63" s="157"/>
      <c r="AC63" s="157"/>
      <c r="AD63" s="159" t="str">
        <f>IFERROR(IF(W63="Probabilidad",(O63-(+O63*Z63)),IF(W63="Impacto",O63,"")),"")</f>
        <v/>
      </c>
      <c r="AE63" s="160" t="str">
        <f>IFERROR(IF(AD63="","",IF(AD63&lt;=0.2,"Muy Baja",IF(AD63&lt;=0.4,"Baja",IF(AD63&lt;=0.6,"Media",IF(AD63&lt;=0.8,"Alta","Muy Alta"))))),"")</f>
        <v/>
      </c>
      <c r="AF63" s="158" t="str">
        <f>+AD63</f>
        <v/>
      </c>
      <c r="AG63" s="160" t="str">
        <f>IFERROR(IF(AH63="","",IF(AH63&lt;=0.2,"Leve",IF(AH63&lt;=0.4,"Menor",IF(AH63&lt;=0.6,"Moderado",IF(AH63&lt;=0.8,"Mayor","Catastrófico"))))),"")</f>
        <v/>
      </c>
      <c r="AH63" s="158" t="str">
        <f>IFERROR(IF(W63="Impacto",(S63-(+S63*Z63)),IF(W63="Probabilidad",S63,"")),"")</f>
        <v/>
      </c>
      <c r="AI63" s="161" t="str">
        <f>IFERROR(IF(OR(AND(AE63="Muy Baja",AG63="Leve"),AND(AE63="Muy Baja",AG63="Menor"),AND(AE63="Baja",AG63="Leve")),"Bajo",IF(OR(AND(AE63="Muy baja",AG63="Moderado"),AND(AE63="Baja",AG63="Menor"),AND(AE63="Baja",AG63="Moderado"),AND(AE63="Media",AG63="Leve"),AND(AE63="Media",AG63="Menor"),AND(AE63="Media",AG63="Moderado"),AND(AE63="Alta",AG63="Leve"),AND(AE63="Alta",AG63="Menor")),"Moderado",IF(OR(AND(AE63="Muy Baja",AG63="Mayor"),AND(AE63="Baja",AG63="Mayor"),AND(AE63="Media",AG63="Mayor"),AND(AE63="Alta",AG63="Moderado"),AND(AE63="Alta",AG63="Mayor"),AND(AE63="Muy Alta",AG63="Leve"),AND(AE63="Muy Alta",AG63="Menor"),AND(AE63="Muy Alta",AG63="Moderado"),AND(AE63="Muy Alta",AG63="Mayor")),"Alto",IF(OR(AND(AE63="Muy Baja",AG63="Catastrófico"),AND(AE63="Baja",AG63="Catastrófico"),AND(AE63="Media",AG63="Catastrófico"),AND(AE63="Alta",AG63="Catastrófico"),AND(AE63="Muy Alta",AG63="Catastrófico")),"Extremo","")))),"")</f>
        <v/>
      </c>
      <c r="AJ63" s="389"/>
      <c r="AK63" s="181"/>
      <c r="AL63" s="187"/>
      <c r="AM63" s="164"/>
      <c r="AN63" s="164"/>
      <c r="AO63" s="346"/>
      <c r="AP63" s="346"/>
      <c r="AQ63" s="346"/>
      <c r="AR63" s="164"/>
      <c r="AS63" s="187"/>
      <c r="AT63" s="346"/>
      <c r="AU63" s="346"/>
      <c r="AV63" s="367"/>
      <c r="AW63" s="346"/>
      <c r="AX63" s="346"/>
      <c r="AY63" s="349"/>
      <c r="AZ63" s="147"/>
      <c r="BA63" s="147"/>
      <c r="BB63" s="147"/>
      <c r="BC63" s="147"/>
      <c r="BD63" s="147"/>
      <c r="BE63" s="147"/>
      <c r="BF63" s="147"/>
      <c r="BG63" s="147"/>
      <c r="BH63" s="147"/>
      <c r="BI63" s="147"/>
      <c r="BJ63" s="147"/>
      <c r="BK63" s="147"/>
      <c r="BL63" s="147"/>
      <c r="BM63" s="147"/>
      <c r="BN63" s="147"/>
      <c r="BO63" s="147"/>
      <c r="BP63" s="147"/>
    </row>
    <row r="64" spans="1:68" s="118" customFormat="1" ht="48.75" customHeight="1" x14ac:dyDescent="0.2">
      <c r="A64" s="376"/>
      <c r="B64" s="378"/>
      <c r="C64" s="359"/>
      <c r="D64" s="359"/>
      <c r="E64" s="347"/>
      <c r="F64" s="182"/>
      <c r="G64" s="271"/>
      <c r="H64" s="362"/>
      <c r="I64" s="402"/>
      <c r="J64" s="362"/>
      <c r="K64" s="185"/>
      <c r="L64" s="365"/>
      <c r="M64" s="405"/>
      <c r="N64" s="344"/>
      <c r="O64" s="384"/>
      <c r="P64" s="381"/>
      <c r="Q64" s="384">
        <f>IF(NOT(ISERROR(MATCH(P64,_xlfn.ANCHORARRAY(H73),0))),O75&amp;"Por favor no seleccionar los criterios de impacto",P64)</f>
        <v>0</v>
      </c>
      <c r="R64" s="344"/>
      <c r="S64" s="384"/>
      <c r="T64" s="399"/>
      <c r="U64" s="149">
        <v>2</v>
      </c>
      <c r="V64" s="117"/>
      <c r="W64" s="144" t="str">
        <f>IF(OR(X64="Preventivo",X64="Detectivo"),"Probabilidad",IF(X64="Correctivo","Impacto",""))</f>
        <v/>
      </c>
      <c r="X64" s="141"/>
      <c r="Y64" s="141"/>
      <c r="Z64" s="142" t="str">
        <f t="shared" ref="Z64:Z68" si="69">IF(AND(X64="Preventivo",Y64="Automático"),"50%",IF(AND(X64="Preventivo",Y64="Manual"),"40%",IF(AND(X64="Detectivo",Y64="Automático"),"40%",IF(AND(X64="Detectivo",Y64="Manual"),"30%",IF(AND(X64="Correctivo",Y64="Automático"),"35%",IF(AND(X64="Correctivo",Y64="Manual"),"25%",""))))))</f>
        <v/>
      </c>
      <c r="AA64" s="141"/>
      <c r="AB64" s="141"/>
      <c r="AC64" s="141"/>
      <c r="AD64" s="143" t="str">
        <f>IFERROR(IF(AND(W63="Probabilidad",W64="Probabilidad"),(AF63-(+AF63*Z64)),IF(W64="Probabilidad",(O63-(+O63*Z64)),IF(W64="Impacto",AF63,""))),"")</f>
        <v/>
      </c>
      <c r="AE64" s="150" t="str">
        <f t="shared" si="1"/>
        <v/>
      </c>
      <c r="AF64" s="142" t="str">
        <f t="shared" ref="AF64:AF68" si="70">+AD64</f>
        <v/>
      </c>
      <c r="AG64" s="150" t="str">
        <f t="shared" si="3"/>
        <v/>
      </c>
      <c r="AH64" s="142" t="str">
        <f>IFERROR(IF(AND(W63="Impacto",W64="Impacto"),(AH57-(+AH57*Z64)),IF(W64="Impacto",($S$63-(+$S$63*Z64)),IF(W64="Probabilidad",AH57,""))),"")</f>
        <v/>
      </c>
      <c r="AI64" s="151" t="str">
        <f t="shared" ref="AI64:AI65" si="71">IFERROR(IF(OR(AND(AE64="Muy Baja",AG64="Leve"),AND(AE64="Muy Baja",AG64="Menor"),AND(AE64="Baja",AG64="Leve")),"Bajo",IF(OR(AND(AE64="Muy baja",AG64="Moderado"),AND(AE64="Baja",AG64="Menor"),AND(AE64="Baja",AG64="Moderado"),AND(AE64="Media",AG64="Leve"),AND(AE64="Media",AG64="Menor"),AND(AE64="Media",AG64="Moderado"),AND(AE64="Alta",AG64="Leve"),AND(AE64="Alta",AG64="Menor")),"Moderado",IF(OR(AND(AE64="Muy Baja",AG64="Mayor"),AND(AE64="Baja",AG64="Mayor"),AND(AE64="Media",AG64="Mayor"),AND(AE64="Alta",AG64="Moderado"),AND(AE64="Alta",AG64="Mayor"),AND(AE64="Muy Alta",AG64="Leve"),AND(AE64="Muy Alta",AG64="Menor"),AND(AE64="Muy Alta",AG64="Moderado"),AND(AE64="Muy Alta",AG64="Mayor")),"Alto",IF(OR(AND(AE64="Muy Baja",AG64="Catastrófico"),AND(AE64="Baja",AG64="Catastrófico"),AND(AE64="Media",AG64="Catastrófico"),AND(AE64="Alta",AG64="Catastrófico"),AND(AE64="Muy Alta",AG64="Catastrófico")),"Extremo","")))),"")</f>
        <v/>
      </c>
      <c r="AJ64" s="390"/>
      <c r="AK64" s="182"/>
      <c r="AL64" s="188"/>
      <c r="AM64" s="140"/>
      <c r="AN64" s="140"/>
      <c r="AO64" s="347"/>
      <c r="AP64" s="347"/>
      <c r="AQ64" s="347"/>
      <c r="AR64" s="140"/>
      <c r="AS64" s="188"/>
      <c r="AT64" s="347"/>
      <c r="AU64" s="347"/>
      <c r="AV64" s="347"/>
      <c r="AW64" s="347"/>
      <c r="AX64" s="347"/>
      <c r="AY64" s="350"/>
    </row>
    <row r="65" spans="1:51" s="118" customFormat="1" ht="48.75" customHeight="1" x14ac:dyDescent="0.2">
      <c r="A65" s="376"/>
      <c r="B65" s="378"/>
      <c r="C65" s="359"/>
      <c r="D65" s="359"/>
      <c r="E65" s="347"/>
      <c r="F65" s="182"/>
      <c r="G65" s="271"/>
      <c r="H65" s="362"/>
      <c r="I65" s="402"/>
      <c r="J65" s="362"/>
      <c r="K65" s="185"/>
      <c r="L65" s="365"/>
      <c r="M65" s="405"/>
      <c r="N65" s="344"/>
      <c r="O65" s="384"/>
      <c r="P65" s="381"/>
      <c r="Q65" s="384">
        <f>IF(NOT(ISERROR(MATCH(P65,_xlfn.ANCHORARRAY(H74),0))),O76&amp;"Por favor no seleccionar los criterios de impacto",P65)</f>
        <v>0</v>
      </c>
      <c r="R65" s="344"/>
      <c r="S65" s="384"/>
      <c r="T65" s="399"/>
      <c r="U65" s="149">
        <v>3</v>
      </c>
      <c r="V65" s="117"/>
      <c r="W65" s="144" t="str">
        <f>IF(OR(X65="Preventivo",X65="Detectivo"),"Probabilidad",IF(X65="Correctivo","Impacto",""))</f>
        <v/>
      </c>
      <c r="X65" s="141"/>
      <c r="Y65" s="141"/>
      <c r="Z65" s="142" t="str">
        <f t="shared" si="69"/>
        <v/>
      </c>
      <c r="AA65" s="141"/>
      <c r="AB65" s="141"/>
      <c r="AC65" s="141"/>
      <c r="AD65" s="143" t="str">
        <f>IFERROR(IF(AND(W64="Probabilidad",W65="Probabilidad"),(AF64-(+AF64*Z65)),IF(AND(W64="Impacto",W65="Probabilidad"),(AF63-(+AF63*Z65)),IF(W65="Impacto",AF64,""))),"")</f>
        <v/>
      </c>
      <c r="AE65" s="150" t="str">
        <f t="shared" si="1"/>
        <v/>
      </c>
      <c r="AF65" s="142" t="str">
        <f t="shared" si="70"/>
        <v/>
      </c>
      <c r="AG65" s="150" t="str">
        <f t="shared" si="3"/>
        <v/>
      </c>
      <c r="AH65" s="142" t="str">
        <f>IFERROR(IF(AND(W64="Impacto",W65="Impacto"),(AH64-(+AH64*Z65)),IF(AND(W64="Probabilidad",W65="Impacto"),(AH63-(+AH63*Z65)),IF(W65="Probabilidad",AH64,""))),"")</f>
        <v/>
      </c>
      <c r="AI65" s="151" t="str">
        <f t="shared" si="71"/>
        <v/>
      </c>
      <c r="AJ65" s="390"/>
      <c r="AK65" s="182"/>
      <c r="AL65" s="188"/>
      <c r="AM65" s="140"/>
      <c r="AN65" s="140"/>
      <c r="AO65" s="347"/>
      <c r="AP65" s="347"/>
      <c r="AQ65" s="347"/>
      <c r="AR65" s="140"/>
      <c r="AS65" s="188"/>
      <c r="AT65" s="347"/>
      <c r="AU65" s="347"/>
      <c r="AV65" s="347"/>
      <c r="AW65" s="347"/>
      <c r="AX65" s="347"/>
      <c r="AY65" s="350"/>
    </row>
    <row r="66" spans="1:51" s="118" customFormat="1" ht="48.75" customHeight="1" x14ac:dyDescent="0.2">
      <c r="A66" s="376"/>
      <c r="B66" s="378"/>
      <c r="C66" s="359"/>
      <c r="D66" s="359"/>
      <c r="E66" s="347"/>
      <c r="F66" s="182"/>
      <c r="G66" s="271"/>
      <c r="H66" s="362"/>
      <c r="I66" s="402"/>
      <c r="J66" s="362"/>
      <c r="K66" s="185"/>
      <c r="L66" s="365"/>
      <c r="M66" s="405"/>
      <c r="N66" s="344"/>
      <c r="O66" s="384"/>
      <c r="P66" s="381"/>
      <c r="Q66" s="384">
        <f>IF(NOT(ISERROR(MATCH(P66,_xlfn.ANCHORARRAY(H75),0))),O77&amp;"Por favor no seleccionar los criterios de impacto",P66)</f>
        <v>0</v>
      </c>
      <c r="R66" s="344"/>
      <c r="S66" s="384"/>
      <c r="T66" s="399"/>
      <c r="U66" s="149">
        <v>4</v>
      </c>
      <c r="V66" s="117"/>
      <c r="W66" s="144" t="str">
        <f t="shared" ref="W66:W68" si="72">IF(OR(X66="Preventivo",X66="Detectivo"),"Probabilidad",IF(X66="Correctivo","Impacto",""))</f>
        <v/>
      </c>
      <c r="X66" s="141"/>
      <c r="Y66" s="141"/>
      <c r="Z66" s="142" t="str">
        <f t="shared" si="69"/>
        <v/>
      </c>
      <c r="AA66" s="141"/>
      <c r="AB66" s="141"/>
      <c r="AC66" s="141"/>
      <c r="AD66" s="143" t="str">
        <f t="shared" ref="AD66:AD68" si="73">IFERROR(IF(AND(W65="Probabilidad",W66="Probabilidad"),(AF65-(+AF65*Z66)),IF(AND(W65="Impacto",W66="Probabilidad"),(AF64-(+AF64*Z66)),IF(W66="Impacto",AF65,""))),"")</f>
        <v/>
      </c>
      <c r="AE66" s="150" t="str">
        <f t="shared" si="1"/>
        <v/>
      </c>
      <c r="AF66" s="142" t="str">
        <f t="shared" si="70"/>
        <v/>
      </c>
      <c r="AG66" s="150" t="str">
        <f t="shared" si="3"/>
        <v/>
      </c>
      <c r="AH66" s="142" t="str">
        <f t="shared" ref="AH66:AH68" si="74">IFERROR(IF(AND(W65="Impacto",W66="Impacto"),(AH65-(+AH65*Z66)),IF(AND(W65="Probabilidad",W66="Impacto"),(AH64-(+AH64*Z66)),IF(W66="Probabilidad",AH65,""))),"")</f>
        <v/>
      </c>
      <c r="AI66" s="151" t="str">
        <f>IFERROR(IF(OR(AND(AE66="Muy Baja",AG66="Leve"),AND(AE66="Muy Baja",AG66="Menor"),AND(AE66="Baja",AG66="Leve")),"Bajo",IF(OR(AND(AE66="Muy baja",AG66="Moderado"),AND(AE66="Baja",AG66="Menor"),AND(AE66="Baja",AG66="Moderado"),AND(AE66="Media",AG66="Leve"),AND(AE66="Media",AG66="Menor"),AND(AE66="Media",AG66="Moderado"),AND(AE66="Alta",AG66="Leve"),AND(AE66="Alta",AG66="Menor")),"Moderado",IF(OR(AND(AE66="Muy Baja",AG66="Mayor"),AND(AE66="Baja",AG66="Mayor"),AND(AE66="Media",AG66="Mayor"),AND(AE66="Alta",AG66="Moderado"),AND(AE66="Alta",AG66="Mayor"),AND(AE66="Muy Alta",AG66="Leve"),AND(AE66="Muy Alta",AG66="Menor"),AND(AE66="Muy Alta",AG66="Moderado"),AND(AE66="Muy Alta",AG66="Mayor")),"Alto",IF(OR(AND(AE66="Muy Baja",AG66="Catastrófico"),AND(AE66="Baja",AG66="Catastrófico"),AND(AE66="Media",AG66="Catastrófico"),AND(AE66="Alta",AG66="Catastrófico"),AND(AE66="Muy Alta",AG66="Catastrófico")),"Extremo","")))),"")</f>
        <v/>
      </c>
      <c r="AJ66" s="390"/>
      <c r="AK66" s="182"/>
      <c r="AL66" s="188"/>
      <c r="AM66" s="140"/>
      <c r="AN66" s="140"/>
      <c r="AO66" s="347"/>
      <c r="AP66" s="347"/>
      <c r="AQ66" s="347"/>
      <c r="AR66" s="140"/>
      <c r="AS66" s="188"/>
      <c r="AT66" s="347"/>
      <c r="AU66" s="347"/>
      <c r="AV66" s="347"/>
      <c r="AW66" s="347"/>
      <c r="AX66" s="347"/>
      <c r="AY66" s="350"/>
    </row>
    <row r="67" spans="1:51" s="118" customFormat="1" ht="48.75" customHeight="1" x14ac:dyDescent="0.2">
      <c r="A67" s="376"/>
      <c r="B67" s="378"/>
      <c r="C67" s="359"/>
      <c r="D67" s="359"/>
      <c r="E67" s="347"/>
      <c r="F67" s="182"/>
      <c r="G67" s="271"/>
      <c r="H67" s="362"/>
      <c r="I67" s="402"/>
      <c r="J67" s="362"/>
      <c r="K67" s="185"/>
      <c r="L67" s="365"/>
      <c r="M67" s="405"/>
      <c r="N67" s="344"/>
      <c r="O67" s="384"/>
      <c r="P67" s="381"/>
      <c r="Q67" s="384">
        <f>IF(NOT(ISERROR(MATCH(P67,_xlfn.ANCHORARRAY(H76),0))),O78&amp;"Por favor no seleccionar los criterios de impacto",P67)</f>
        <v>0</v>
      </c>
      <c r="R67" s="344"/>
      <c r="S67" s="384"/>
      <c r="T67" s="399"/>
      <c r="U67" s="149">
        <v>5</v>
      </c>
      <c r="V67" s="117"/>
      <c r="W67" s="144" t="str">
        <f t="shared" si="72"/>
        <v/>
      </c>
      <c r="X67" s="141"/>
      <c r="Y67" s="141"/>
      <c r="Z67" s="142" t="str">
        <f t="shared" si="69"/>
        <v/>
      </c>
      <c r="AA67" s="141"/>
      <c r="AB67" s="141"/>
      <c r="AC67" s="141"/>
      <c r="AD67" s="143" t="str">
        <f t="shared" si="73"/>
        <v/>
      </c>
      <c r="AE67" s="150" t="str">
        <f t="shared" si="1"/>
        <v/>
      </c>
      <c r="AF67" s="142" t="str">
        <f t="shared" si="70"/>
        <v/>
      </c>
      <c r="AG67" s="150" t="str">
        <f t="shared" si="3"/>
        <v/>
      </c>
      <c r="AH67" s="142" t="str">
        <f t="shared" si="74"/>
        <v/>
      </c>
      <c r="AI67" s="151" t="str">
        <f t="shared" ref="AI67:AI68" si="75">IFERROR(IF(OR(AND(AE67="Muy Baja",AG67="Leve"),AND(AE67="Muy Baja",AG67="Menor"),AND(AE67="Baja",AG67="Leve")),"Bajo",IF(OR(AND(AE67="Muy baja",AG67="Moderado"),AND(AE67="Baja",AG67="Menor"),AND(AE67="Baja",AG67="Moderado"),AND(AE67="Media",AG67="Leve"),AND(AE67="Media",AG67="Menor"),AND(AE67="Media",AG67="Moderado"),AND(AE67="Alta",AG67="Leve"),AND(AE67="Alta",AG67="Menor")),"Moderado",IF(OR(AND(AE67="Muy Baja",AG67="Mayor"),AND(AE67="Baja",AG67="Mayor"),AND(AE67="Media",AG67="Mayor"),AND(AE67="Alta",AG67="Moderado"),AND(AE67="Alta",AG67="Mayor"),AND(AE67="Muy Alta",AG67="Leve"),AND(AE67="Muy Alta",AG67="Menor"),AND(AE67="Muy Alta",AG67="Moderado"),AND(AE67="Muy Alta",AG67="Mayor")),"Alto",IF(OR(AND(AE67="Muy Baja",AG67="Catastrófico"),AND(AE67="Baja",AG67="Catastrófico"),AND(AE67="Media",AG67="Catastrófico"),AND(AE67="Alta",AG67="Catastrófico"),AND(AE67="Muy Alta",AG67="Catastrófico")),"Extremo","")))),"")</f>
        <v/>
      </c>
      <c r="AJ67" s="390"/>
      <c r="AK67" s="182"/>
      <c r="AL67" s="188"/>
      <c r="AM67" s="140"/>
      <c r="AN67" s="140"/>
      <c r="AO67" s="347"/>
      <c r="AP67" s="347"/>
      <c r="AQ67" s="347"/>
      <c r="AR67" s="140"/>
      <c r="AS67" s="188"/>
      <c r="AT67" s="347"/>
      <c r="AU67" s="347"/>
      <c r="AV67" s="347"/>
      <c r="AW67" s="347"/>
      <c r="AX67" s="347"/>
      <c r="AY67" s="350"/>
    </row>
    <row r="68" spans="1:51" s="118" customFormat="1" ht="48.75" customHeight="1" thickBot="1" x14ac:dyDescent="0.25">
      <c r="A68" s="377"/>
      <c r="B68" s="379"/>
      <c r="C68" s="360"/>
      <c r="D68" s="360"/>
      <c r="E68" s="348"/>
      <c r="F68" s="180"/>
      <c r="G68" s="273"/>
      <c r="H68" s="363"/>
      <c r="I68" s="403"/>
      <c r="J68" s="363"/>
      <c r="K68" s="186"/>
      <c r="L68" s="366"/>
      <c r="M68" s="406"/>
      <c r="N68" s="345"/>
      <c r="O68" s="385"/>
      <c r="P68" s="382"/>
      <c r="Q68" s="385">
        <f>IF(NOT(ISERROR(MATCH(P68,_xlfn.ANCHORARRAY(H77),0))),O79&amp;"Por favor no seleccionar los criterios de impacto",P68)</f>
        <v>0</v>
      </c>
      <c r="R68" s="345"/>
      <c r="S68" s="385"/>
      <c r="T68" s="400"/>
      <c r="U68" s="165">
        <v>6</v>
      </c>
      <c r="V68" s="281"/>
      <c r="W68" s="166" t="str">
        <f t="shared" si="72"/>
        <v/>
      </c>
      <c r="X68" s="167"/>
      <c r="Y68" s="167"/>
      <c r="Z68" s="168" t="str">
        <f t="shared" si="69"/>
        <v/>
      </c>
      <c r="AA68" s="167"/>
      <c r="AB68" s="167"/>
      <c r="AC68" s="167"/>
      <c r="AD68" s="169" t="str">
        <f t="shared" si="73"/>
        <v/>
      </c>
      <c r="AE68" s="170" t="str">
        <f t="shared" si="1"/>
        <v/>
      </c>
      <c r="AF68" s="168" t="str">
        <f t="shared" si="70"/>
        <v/>
      </c>
      <c r="AG68" s="170" t="str">
        <f t="shared" si="3"/>
        <v/>
      </c>
      <c r="AH68" s="168" t="str">
        <f t="shared" si="74"/>
        <v/>
      </c>
      <c r="AI68" s="171" t="str">
        <f t="shared" si="75"/>
        <v/>
      </c>
      <c r="AJ68" s="391"/>
      <c r="AK68" s="183"/>
      <c r="AL68" s="189"/>
      <c r="AM68" s="174"/>
      <c r="AN68" s="174"/>
      <c r="AO68" s="348"/>
      <c r="AP68" s="348"/>
      <c r="AQ68" s="348"/>
      <c r="AR68" s="174"/>
      <c r="AS68" s="189"/>
      <c r="AT68" s="348"/>
      <c r="AU68" s="348"/>
      <c r="AV68" s="348"/>
      <c r="AW68" s="348"/>
      <c r="AX68" s="348"/>
      <c r="AY68" s="351"/>
    </row>
    <row r="69" spans="1:51" s="118" customFormat="1" ht="12.75" x14ac:dyDescent="0.2">
      <c r="A69" s="123"/>
      <c r="B69" s="154"/>
      <c r="C69" s="154"/>
      <c r="D69" s="154"/>
      <c r="E69" s="123"/>
      <c r="F69" s="123"/>
      <c r="G69" s="123"/>
      <c r="I69" s="119"/>
      <c r="J69" s="119"/>
      <c r="K69" s="119"/>
      <c r="L69" s="119"/>
    </row>
    <row r="70" spans="1:51" s="118" customFormat="1" ht="12.75" x14ac:dyDescent="0.2">
      <c r="A70" s="123"/>
      <c r="B70" s="154"/>
      <c r="C70" s="154"/>
      <c r="D70" s="154"/>
      <c r="E70" s="123"/>
      <c r="F70" s="123"/>
      <c r="G70" s="123"/>
      <c r="I70" s="119"/>
      <c r="J70" s="119"/>
      <c r="K70" s="119"/>
      <c r="L70" s="119"/>
    </row>
    <row r="71" spans="1:51" s="118" customFormat="1" ht="12.75" x14ac:dyDescent="0.2">
      <c r="A71" s="123"/>
      <c r="B71" s="154"/>
      <c r="C71" s="154"/>
      <c r="D71" s="154"/>
      <c r="E71" s="123"/>
      <c r="F71" s="123"/>
      <c r="G71" s="123"/>
      <c r="I71" s="119"/>
      <c r="J71" s="119"/>
      <c r="K71" s="119"/>
      <c r="L71" s="119"/>
    </row>
    <row r="72" spans="1:51" s="118" customFormat="1" ht="12.75" x14ac:dyDescent="0.2">
      <c r="A72" s="123"/>
      <c r="B72" s="154"/>
      <c r="C72" s="154"/>
      <c r="D72" s="154"/>
      <c r="E72" s="123"/>
      <c r="F72" s="123"/>
      <c r="G72" s="123"/>
      <c r="I72" s="119"/>
      <c r="J72" s="119"/>
      <c r="K72" s="119"/>
      <c r="L72" s="119"/>
    </row>
    <row r="73" spans="1:51" s="118" customFormat="1" ht="12.75" x14ac:dyDescent="0.2">
      <c r="A73" s="123"/>
      <c r="B73" s="154"/>
      <c r="C73" s="154"/>
      <c r="D73" s="154"/>
      <c r="E73" s="123"/>
      <c r="F73" s="123"/>
      <c r="G73" s="123"/>
      <c r="I73" s="119"/>
      <c r="J73" s="119"/>
      <c r="K73" s="119"/>
      <c r="L73" s="119"/>
    </row>
    <row r="74" spans="1:51" s="118" customFormat="1" ht="12.75" x14ac:dyDescent="0.2">
      <c r="A74" s="123"/>
      <c r="B74" s="154"/>
      <c r="C74" s="154"/>
      <c r="D74" s="154"/>
      <c r="E74" s="123"/>
      <c r="F74" s="123"/>
      <c r="G74" s="123"/>
      <c r="I74" s="119"/>
      <c r="J74" s="119"/>
      <c r="K74" s="119"/>
      <c r="L74" s="119"/>
    </row>
    <row r="75" spans="1:51" s="118" customFormat="1" ht="12.75" x14ac:dyDescent="0.2">
      <c r="A75" s="123"/>
      <c r="B75" s="154"/>
      <c r="C75" s="154"/>
      <c r="D75" s="154"/>
      <c r="E75" s="123"/>
      <c r="F75" s="123"/>
      <c r="G75" s="123"/>
      <c r="I75" s="119"/>
      <c r="J75" s="119"/>
      <c r="K75" s="119"/>
      <c r="L75" s="119"/>
    </row>
    <row r="76" spans="1:51" s="118" customFormat="1" ht="12.75" x14ac:dyDescent="0.2">
      <c r="A76" s="123"/>
      <c r="B76" s="154"/>
      <c r="C76" s="154"/>
      <c r="D76" s="154"/>
      <c r="E76" s="123"/>
      <c r="F76" s="123"/>
      <c r="G76" s="123"/>
      <c r="I76" s="119"/>
      <c r="J76" s="119"/>
      <c r="K76" s="119"/>
      <c r="L76" s="119"/>
    </row>
    <row r="77" spans="1:51" s="118" customFormat="1" ht="12.75" x14ac:dyDescent="0.2">
      <c r="A77" s="123"/>
      <c r="B77" s="154"/>
      <c r="C77" s="154"/>
      <c r="D77" s="154"/>
      <c r="E77" s="123"/>
      <c r="F77" s="123"/>
      <c r="G77" s="123"/>
      <c r="I77" s="119"/>
      <c r="J77" s="119"/>
      <c r="K77" s="119"/>
      <c r="L77" s="119"/>
    </row>
    <row r="78" spans="1:51" s="118" customFormat="1" ht="12.75" x14ac:dyDescent="0.2">
      <c r="A78" s="123"/>
      <c r="B78" s="154"/>
      <c r="C78" s="154"/>
      <c r="D78" s="154"/>
      <c r="E78" s="123"/>
      <c r="F78" s="123"/>
      <c r="G78" s="123"/>
      <c r="I78" s="119"/>
      <c r="J78" s="119"/>
      <c r="K78" s="119"/>
      <c r="L78" s="119"/>
    </row>
    <row r="79" spans="1:51" s="118" customFormat="1" ht="12.75" x14ac:dyDescent="0.2">
      <c r="A79" s="123"/>
      <c r="B79" s="154"/>
      <c r="C79" s="154"/>
      <c r="D79" s="154"/>
      <c r="E79" s="123"/>
      <c r="F79" s="123"/>
      <c r="G79" s="123"/>
      <c r="I79" s="119"/>
      <c r="J79" s="119"/>
      <c r="K79" s="119"/>
      <c r="L79" s="119"/>
    </row>
    <row r="80" spans="1:51" s="118" customFormat="1" ht="12.75" x14ac:dyDescent="0.2">
      <c r="A80" s="123"/>
      <c r="B80" s="154"/>
      <c r="C80" s="154"/>
      <c r="D80" s="154"/>
      <c r="E80" s="123"/>
      <c r="F80" s="123"/>
      <c r="G80" s="123"/>
      <c r="I80" s="119"/>
      <c r="J80" s="119"/>
      <c r="K80" s="119"/>
      <c r="L80" s="119"/>
    </row>
    <row r="81" spans="1:12" s="118" customFormat="1" ht="12.75" x14ac:dyDescent="0.2">
      <c r="A81" s="123"/>
      <c r="B81" s="154"/>
      <c r="C81" s="154"/>
      <c r="D81" s="154"/>
      <c r="E81" s="123"/>
      <c r="F81" s="123"/>
      <c r="G81" s="123"/>
      <c r="I81" s="119"/>
      <c r="J81" s="119"/>
      <c r="K81" s="119"/>
      <c r="L81" s="119"/>
    </row>
    <row r="82" spans="1:12" s="118" customFormat="1" ht="12.75" x14ac:dyDescent="0.2">
      <c r="A82" s="123"/>
      <c r="B82" s="154"/>
      <c r="C82" s="154"/>
      <c r="D82" s="154"/>
      <c r="E82" s="123"/>
      <c r="F82" s="123"/>
      <c r="G82" s="123"/>
      <c r="I82" s="119"/>
      <c r="J82" s="119"/>
      <c r="K82" s="119"/>
      <c r="L82" s="119"/>
    </row>
    <row r="83" spans="1:12" s="118" customFormat="1" ht="12.75" x14ac:dyDescent="0.2">
      <c r="A83" s="123"/>
      <c r="B83" s="154"/>
      <c r="C83" s="154"/>
      <c r="D83" s="154"/>
      <c r="E83" s="123"/>
      <c r="F83" s="123"/>
      <c r="G83" s="123"/>
      <c r="I83" s="119"/>
      <c r="J83" s="119"/>
      <c r="K83" s="119"/>
      <c r="L83" s="119"/>
    </row>
    <row r="84" spans="1:12" s="118" customFormat="1" ht="12.75" x14ac:dyDescent="0.2">
      <c r="A84" s="123"/>
      <c r="B84" s="154"/>
      <c r="C84" s="154"/>
      <c r="D84" s="154"/>
      <c r="E84" s="123"/>
      <c r="F84" s="123"/>
      <c r="G84" s="123"/>
      <c r="I84" s="119"/>
      <c r="J84" s="119"/>
      <c r="K84" s="119"/>
      <c r="L84" s="119"/>
    </row>
    <row r="85" spans="1:12" s="118" customFormat="1" ht="12.75" x14ac:dyDescent="0.2">
      <c r="A85" s="123"/>
      <c r="B85" s="154"/>
      <c r="C85" s="154"/>
      <c r="D85" s="154"/>
      <c r="E85" s="123"/>
      <c r="F85" s="123"/>
      <c r="G85" s="123"/>
      <c r="I85" s="119"/>
      <c r="J85" s="119"/>
      <c r="K85" s="119"/>
      <c r="L85" s="119"/>
    </row>
    <row r="86" spans="1:12" s="118" customFormat="1" ht="12.75" x14ac:dyDescent="0.2">
      <c r="A86" s="123"/>
      <c r="B86" s="154"/>
      <c r="C86" s="154"/>
      <c r="D86" s="154"/>
      <c r="E86" s="123"/>
      <c r="F86" s="123"/>
      <c r="G86" s="123"/>
      <c r="I86" s="119"/>
      <c r="J86" s="119"/>
      <c r="K86" s="119"/>
      <c r="L86" s="119"/>
    </row>
    <row r="87" spans="1:12" s="118" customFormat="1" ht="12.75" x14ac:dyDescent="0.2">
      <c r="A87" s="123"/>
      <c r="B87" s="154"/>
      <c r="C87" s="154"/>
      <c r="D87" s="154"/>
      <c r="E87" s="123"/>
      <c r="F87" s="123"/>
      <c r="G87" s="123"/>
      <c r="I87" s="119"/>
      <c r="J87" s="119"/>
      <c r="K87" s="119"/>
      <c r="L87" s="119"/>
    </row>
    <row r="88" spans="1:12" s="118" customFormat="1" ht="12.75" x14ac:dyDescent="0.2">
      <c r="A88" s="123"/>
      <c r="B88" s="154"/>
      <c r="C88" s="154"/>
      <c r="D88" s="154"/>
      <c r="E88" s="123"/>
      <c r="F88" s="123"/>
      <c r="G88" s="123"/>
      <c r="I88" s="119"/>
      <c r="J88" s="119"/>
      <c r="K88" s="119"/>
      <c r="L88" s="119"/>
    </row>
    <row r="89" spans="1:12" s="118" customFormat="1" ht="12.75" x14ac:dyDescent="0.2">
      <c r="A89" s="123"/>
      <c r="B89" s="154"/>
      <c r="C89" s="154"/>
      <c r="D89" s="154"/>
      <c r="E89" s="123"/>
      <c r="F89" s="123"/>
      <c r="G89" s="123"/>
      <c r="I89" s="119"/>
      <c r="J89" s="119"/>
      <c r="K89" s="119"/>
      <c r="L89" s="119"/>
    </row>
    <row r="90" spans="1:12" s="118" customFormat="1" ht="12.75" x14ac:dyDescent="0.2">
      <c r="A90" s="123"/>
      <c r="B90" s="154"/>
      <c r="C90" s="154"/>
      <c r="D90" s="154"/>
      <c r="E90" s="123"/>
      <c r="F90" s="123"/>
      <c r="G90" s="123"/>
      <c r="I90" s="119"/>
      <c r="J90" s="119"/>
      <c r="K90" s="119"/>
      <c r="L90" s="119"/>
    </row>
    <row r="91" spans="1:12" s="118" customFormat="1" ht="12.75" x14ac:dyDescent="0.2">
      <c r="A91" s="123"/>
      <c r="B91" s="154"/>
      <c r="C91" s="154"/>
      <c r="D91" s="154"/>
      <c r="E91" s="123"/>
      <c r="F91" s="123"/>
      <c r="G91" s="123"/>
      <c r="I91" s="119"/>
      <c r="J91" s="119"/>
      <c r="K91" s="119"/>
      <c r="L91" s="119"/>
    </row>
    <row r="92" spans="1:12" s="118" customFormat="1" ht="12.75" x14ac:dyDescent="0.2">
      <c r="A92" s="123"/>
      <c r="B92" s="154"/>
      <c r="C92" s="154"/>
      <c r="D92" s="154"/>
      <c r="E92" s="123"/>
      <c r="F92" s="123"/>
      <c r="G92" s="123"/>
      <c r="I92" s="119"/>
      <c r="J92" s="119"/>
      <c r="K92" s="119"/>
      <c r="L92" s="119"/>
    </row>
    <row r="93" spans="1:12" s="118" customFormat="1" ht="12.75" x14ac:dyDescent="0.2">
      <c r="A93" s="123"/>
      <c r="B93" s="154"/>
      <c r="C93" s="154"/>
      <c r="D93" s="154"/>
      <c r="E93" s="123"/>
      <c r="F93" s="123"/>
      <c r="G93" s="123"/>
      <c r="I93" s="119"/>
      <c r="J93" s="119"/>
      <c r="K93" s="119"/>
      <c r="L93" s="119"/>
    </row>
    <row r="94" spans="1:12" s="118" customFormat="1" ht="12.75" x14ac:dyDescent="0.2">
      <c r="A94" s="123"/>
      <c r="B94" s="154"/>
      <c r="C94" s="154"/>
      <c r="D94" s="154"/>
      <c r="E94" s="123"/>
      <c r="F94" s="123"/>
      <c r="G94" s="123"/>
      <c r="I94" s="119"/>
      <c r="J94" s="119"/>
      <c r="K94" s="119"/>
      <c r="L94" s="119"/>
    </row>
    <row r="95" spans="1:12" s="118" customFormat="1" ht="12.75" x14ac:dyDescent="0.2">
      <c r="A95" s="123"/>
      <c r="B95" s="154"/>
      <c r="C95" s="154"/>
      <c r="D95" s="154"/>
      <c r="E95" s="123"/>
      <c r="F95" s="123"/>
      <c r="G95" s="123"/>
      <c r="I95" s="119"/>
      <c r="J95" s="119"/>
      <c r="K95" s="119"/>
      <c r="L95" s="119"/>
    </row>
    <row r="96" spans="1:12" s="118" customFormat="1" ht="12.75" x14ac:dyDescent="0.2">
      <c r="A96" s="123"/>
      <c r="B96" s="154"/>
      <c r="C96" s="154"/>
      <c r="D96" s="154"/>
      <c r="E96" s="123"/>
      <c r="F96" s="123"/>
      <c r="G96" s="123"/>
      <c r="I96" s="119"/>
      <c r="J96" s="119"/>
      <c r="K96" s="119"/>
      <c r="L96" s="119"/>
    </row>
    <row r="97" spans="1:12" s="118" customFormat="1" ht="12.75" x14ac:dyDescent="0.2">
      <c r="A97" s="123"/>
      <c r="B97" s="154"/>
      <c r="C97" s="154"/>
      <c r="D97" s="154"/>
      <c r="E97" s="123"/>
      <c r="F97" s="123"/>
      <c r="G97" s="123"/>
      <c r="I97" s="119"/>
      <c r="J97" s="119"/>
      <c r="K97" s="119"/>
      <c r="L97" s="119"/>
    </row>
    <row r="98" spans="1:12" s="118" customFormat="1" ht="12.75" x14ac:dyDescent="0.2">
      <c r="A98" s="123"/>
      <c r="B98" s="154"/>
      <c r="C98" s="154"/>
      <c r="D98" s="154"/>
      <c r="E98" s="123"/>
      <c r="F98" s="123"/>
      <c r="G98" s="123"/>
      <c r="I98" s="119"/>
      <c r="J98" s="119"/>
      <c r="K98" s="119"/>
      <c r="L98" s="119"/>
    </row>
    <row r="99" spans="1:12" s="118" customFormat="1" ht="12.75" x14ac:dyDescent="0.2">
      <c r="A99" s="123"/>
      <c r="B99" s="154"/>
      <c r="C99" s="154"/>
      <c r="D99" s="154"/>
      <c r="E99" s="123"/>
      <c r="F99" s="123"/>
      <c r="G99" s="123"/>
      <c r="I99" s="119"/>
      <c r="J99" s="119"/>
      <c r="K99" s="119"/>
      <c r="L99" s="119"/>
    </row>
    <row r="100" spans="1:12" s="118" customFormat="1" ht="12.75" x14ac:dyDescent="0.2">
      <c r="A100" s="123"/>
      <c r="B100" s="154"/>
      <c r="C100" s="154"/>
      <c r="D100" s="154"/>
      <c r="E100" s="123"/>
      <c r="F100" s="123"/>
      <c r="G100" s="123"/>
      <c r="I100" s="119"/>
      <c r="J100" s="119"/>
      <c r="K100" s="119"/>
      <c r="L100" s="119"/>
    </row>
    <row r="101" spans="1:12" s="118" customFormat="1" ht="12.75" x14ac:dyDescent="0.2">
      <c r="A101" s="123"/>
      <c r="B101" s="154"/>
      <c r="C101" s="154"/>
      <c r="D101" s="154"/>
      <c r="E101" s="123"/>
      <c r="F101" s="123"/>
      <c r="G101" s="123"/>
      <c r="I101" s="119"/>
      <c r="J101" s="119"/>
      <c r="K101" s="119"/>
      <c r="L101" s="119"/>
    </row>
    <row r="102" spans="1:12" s="118" customFormat="1" ht="12.75" x14ac:dyDescent="0.2">
      <c r="A102" s="123"/>
      <c r="B102" s="154"/>
      <c r="C102" s="154"/>
      <c r="D102" s="154"/>
      <c r="E102" s="123"/>
      <c r="F102" s="123"/>
      <c r="G102" s="123"/>
      <c r="I102" s="119"/>
      <c r="J102" s="119"/>
      <c r="K102" s="119"/>
      <c r="L102" s="119"/>
    </row>
    <row r="103" spans="1:12" s="118" customFormat="1" ht="12.75" x14ac:dyDescent="0.2">
      <c r="A103" s="123"/>
      <c r="B103" s="154"/>
      <c r="C103" s="154"/>
      <c r="D103" s="154"/>
      <c r="E103" s="123"/>
      <c r="F103" s="123"/>
      <c r="G103" s="123"/>
      <c r="I103" s="119"/>
      <c r="J103" s="119"/>
      <c r="K103" s="119"/>
      <c r="L103" s="119"/>
    </row>
    <row r="104" spans="1:12" s="118" customFormat="1" ht="12.75" x14ac:dyDescent="0.2">
      <c r="A104" s="123"/>
      <c r="B104" s="154"/>
      <c r="C104" s="154"/>
      <c r="D104" s="154"/>
      <c r="E104" s="123"/>
      <c r="F104" s="123"/>
      <c r="G104" s="123"/>
      <c r="I104" s="119"/>
      <c r="J104" s="119"/>
      <c r="K104" s="119"/>
      <c r="L104" s="119"/>
    </row>
    <row r="105" spans="1:12" s="118" customFormat="1" ht="12.75" x14ac:dyDescent="0.2">
      <c r="A105" s="123"/>
      <c r="B105" s="154"/>
      <c r="C105" s="154"/>
      <c r="D105" s="154"/>
      <c r="E105" s="123"/>
      <c r="F105" s="123"/>
      <c r="G105" s="123"/>
      <c r="I105" s="119"/>
      <c r="J105" s="119"/>
      <c r="K105" s="119"/>
      <c r="L105" s="119"/>
    </row>
    <row r="106" spans="1:12" s="118" customFormat="1" ht="12.75" x14ac:dyDescent="0.2">
      <c r="A106" s="123"/>
      <c r="B106" s="154"/>
      <c r="C106" s="154"/>
      <c r="D106" s="154"/>
      <c r="E106" s="123"/>
      <c r="F106" s="123"/>
      <c r="G106" s="123"/>
      <c r="I106" s="119"/>
      <c r="J106" s="119"/>
      <c r="K106" s="119"/>
      <c r="L106" s="119"/>
    </row>
    <row r="107" spans="1:12" s="118" customFormat="1" ht="12.75" x14ac:dyDescent="0.2">
      <c r="A107" s="123"/>
      <c r="B107" s="154"/>
      <c r="C107" s="154"/>
      <c r="D107" s="154"/>
      <c r="E107" s="123"/>
      <c r="F107" s="123"/>
      <c r="G107" s="123"/>
      <c r="I107" s="119"/>
      <c r="J107" s="119"/>
      <c r="K107" s="119"/>
      <c r="L107" s="119"/>
    </row>
    <row r="108" spans="1:12" s="118" customFormat="1" ht="12.75" x14ac:dyDescent="0.2">
      <c r="A108" s="123"/>
      <c r="B108" s="154"/>
      <c r="C108" s="154"/>
      <c r="D108" s="154"/>
      <c r="E108" s="123"/>
      <c r="F108" s="123"/>
      <c r="G108" s="123"/>
      <c r="I108" s="119"/>
      <c r="J108" s="119"/>
      <c r="K108" s="119"/>
      <c r="L108" s="119"/>
    </row>
    <row r="109" spans="1:12" s="118" customFormat="1" ht="12.75" x14ac:dyDescent="0.2">
      <c r="A109" s="123"/>
      <c r="B109" s="154"/>
      <c r="C109" s="154"/>
      <c r="D109" s="154"/>
      <c r="E109" s="123"/>
      <c r="F109" s="123"/>
      <c r="G109" s="123"/>
      <c r="I109" s="119"/>
      <c r="J109" s="119"/>
      <c r="K109" s="119"/>
      <c r="L109" s="119"/>
    </row>
    <row r="110" spans="1:12" s="118" customFormat="1" ht="12.75" x14ac:dyDescent="0.2">
      <c r="A110" s="123"/>
      <c r="B110" s="154"/>
      <c r="C110" s="154"/>
      <c r="D110" s="154"/>
      <c r="E110" s="123"/>
      <c r="F110" s="123"/>
      <c r="G110" s="123"/>
      <c r="I110" s="119"/>
      <c r="J110" s="119"/>
      <c r="K110" s="119"/>
      <c r="L110" s="119"/>
    </row>
    <row r="111" spans="1:12" s="118" customFormat="1" ht="12.75" x14ac:dyDescent="0.2">
      <c r="A111" s="123"/>
      <c r="B111" s="154"/>
      <c r="C111" s="154"/>
      <c r="D111" s="154"/>
      <c r="E111" s="123"/>
      <c r="F111" s="123"/>
      <c r="G111" s="123"/>
      <c r="I111" s="119"/>
      <c r="J111" s="119"/>
      <c r="K111" s="119"/>
      <c r="L111" s="119"/>
    </row>
    <row r="112" spans="1:12" s="118" customFormat="1" ht="12.75" x14ac:dyDescent="0.2">
      <c r="A112" s="123"/>
      <c r="B112" s="154"/>
      <c r="C112" s="154"/>
      <c r="D112" s="154"/>
      <c r="E112" s="123"/>
      <c r="F112" s="123"/>
      <c r="G112" s="123"/>
      <c r="I112" s="119"/>
      <c r="J112" s="119"/>
      <c r="K112" s="119"/>
      <c r="L112" s="119"/>
    </row>
    <row r="113" spans="1:12" s="118" customFormat="1" ht="12.75" x14ac:dyDescent="0.2">
      <c r="A113" s="123"/>
      <c r="B113" s="154"/>
      <c r="C113" s="154"/>
      <c r="D113" s="154"/>
      <c r="E113" s="123"/>
      <c r="F113" s="123"/>
      <c r="G113" s="123"/>
      <c r="I113" s="119"/>
      <c r="J113" s="119"/>
      <c r="K113" s="119"/>
      <c r="L113" s="119"/>
    </row>
    <row r="114" spans="1:12" s="118" customFormat="1" ht="12.75" x14ac:dyDescent="0.2">
      <c r="A114" s="123"/>
      <c r="B114" s="154"/>
      <c r="C114" s="154"/>
      <c r="D114" s="154"/>
      <c r="E114" s="123"/>
      <c r="F114" s="123"/>
      <c r="G114" s="123"/>
      <c r="I114" s="119"/>
      <c r="J114" s="119"/>
      <c r="K114" s="119"/>
      <c r="L114" s="119"/>
    </row>
    <row r="115" spans="1:12" s="118" customFormat="1" ht="12.75" x14ac:dyDescent="0.2">
      <c r="A115" s="123"/>
      <c r="B115" s="154"/>
      <c r="C115" s="154"/>
      <c r="D115" s="154"/>
      <c r="E115" s="123"/>
      <c r="F115" s="123"/>
      <c r="G115" s="123"/>
      <c r="I115" s="119"/>
      <c r="J115" s="119"/>
      <c r="K115" s="119"/>
      <c r="L115" s="119"/>
    </row>
    <row r="116" spans="1:12" s="118" customFormat="1" ht="12.75" x14ac:dyDescent="0.2">
      <c r="A116" s="123"/>
      <c r="B116" s="154"/>
      <c r="C116" s="154"/>
      <c r="D116" s="154"/>
      <c r="E116" s="123"/>
      <c r="F116" s="123"/>
      <c r="G116" s="123"/>
      <c r="I116" s="119"/>
      <c r="J116" s="119"/>
      <c r="K116" s="119"/>
      <c r="L116" s="119"/>
    </row>
    <row r="117" spans="1:12" s="118" customFormat="1" ht="12.75" x14ac:dyDescent="0.2">
      <c r="A117" s="123"/>
      <c r="B117" s="154"/>
      <c r="C117" s="154"/>
      <c r="D117" s="154"/>
      <c r="E117" s="123"/>
      <c r="F117" s="123"/>
      <c r="G117" s="123"/>
      <c r="I117" s="119"/>
      <c r="J117" s="119"/>
      <c r="K117" s="119"/>
      <c r="L117" s="119"/>
    </row>
    <row r="118" spans="1:12" s="118" customFormat="1" ht="12.75" x14ac:dyDescent="0.2">
      <c r="A118" s="123"/>
      <c r="B118" s="154"/>
      <c r="C118" s="154"/>
      <c r="D118" s="154"/>
      <c r="E118" s="123"/>
      <c r="F118" s="123"/>
      <c r="G118" s="123"/>
      <c r="I118" s="119"/>
      <c r="J118" s="119"/>
      <c r="K118" s="119"/>
      <c r="L118" s="119"/>
    </row>
    <row r="119" spans="1:12" s="118" customFormat="1" ht="12.75" x14ac:dyDescent="0.2">
      <c r="A119" s="123"/>
      <c r="B119" s="154"/>
      <c r="C119" s="154"/>
      <c r="D119" s="154"/>
      <c r="E119" s="123"/>
      <c r="F119" s="123"/>
      <c r="G119" s="123"/>
      <c r="I119" s="119"/>
      <c r="J119" s="119"/>
      <c r="K119" s="119"/>
      <c r="L119" s="119"/>
    </row>
    <row r="120" spans="1:12" s="118" customFormat="1" ht="12.75" x14ac:dyDescent="0.2">
      <c r="A120" s="123"/>
      <c r="B120" s="154"/>
      <c r="C120" s="154"/>
      <c r="D120" s="154"/>
      <c r="E120" s="123"/>
      <c r="F120" s="123"/>
      <c r="G120" s="123"/>
      <c r="I120" s="119"/>
      <c r="J120" s="119"/>
      <c r="K120" s="119"/>
      <c r="L120" s="119"/>
    </row>
    <row r="121" spans="1:12" s="118" customFormat="1" ht="12.75" x14ac:dyDescent="0.2">
      <c r="A121" s="123"/>
      <c r="B121" s="154"/>
      <c r="C121" s="154"/>
      <c r="D121" s="154"/>
      <c r="E121" s="123"/>
      <c r="F121" s="123"/>
      <c r="G121" s="123"/>
      <c r="I121" s="119"/>
      <c r="J121" s="119"/>
      <c r="K121" s="119"/>
      <c r="L121" s="119"/>
    </row>
    <row r="122" spans="1:12" s="118" customFormat="1" ht="12.75" x14ac:dyDescent="0.2">
      <c r="A122" s="123"/>
      <c r="B122" s="154"/>
      <c r="C122" s="154"/>
      <c r="D122" s="154"/>
      <c r="E122" s="123"/>
      <c r="F122" s="123"/>
      <c r="G122" s="123"/>
      <c r="I122" s="119"/>
      <c r="J122" s="119"/>
      <c r="K122" s="119"/>
      <c r="L122" s="119"/>
    </row>
    <row r="123" spans="1:12" s="118" customFormat="1" ht="12.75" x14ac:dyDescent="0.2">
      <c r="A123" s="123"/>
      <c r="B123" s="154"/>
      <c r="C123" s="154"/>
      <c r="D123" s="154"/>
      <c r="E123" s="123"/>
      <c r="F123" s="123"/>
      <c r="G123" s="123"/>
      <c r="I123" s="119"/>
      <c r="J123" s="119"/>
      <c r="K123" s="119"/>
      <c r="L123" s="119"/>
    </row>
    <row r="124" spans="1:12" s="118" customFormat="1" ht="12.75" x14ac:dyDescent="0.2">
      <c r="A124" s="123"/>
      <c r="B124" s="154"/>
      <c r="C124" s="154"/>
      <c r="D124" s="154"/>
      <c r="E124" s="123"/>
      <c r="F124" s="123"/>
      <c r="G124" s="123"/>
      <c r="I124" s="119"/>
      <c r="J124" s="119"/>
      <c r="K124" s="119"/>
      <c r="L124" s="119"/>
    </row>
    <row r="125" spans="1:12" s="118" customFormat="1" ht="12.75" x14ac:dyDescent="0.2">
      <c r="A125" s="123"/>
      <c r="B125" s="154"/>
      <c r="C125" s="154"/>
      <c r="D125" s="154"/>
      <c r="E125" s="123"/>
      <c r="F125" s="123"/>
      <c r="G125" s="123"/>
      <c r="I125" s="119"/>
      <c r="J125" s="119"/>
      <c r="K125" s="119"/>
      <c r="L125" s="119"/>
    </row>
    <row r="126" spans="1:12" s="118" customFormat="1" ht="12.75" x14ac:dyDescent="0.2">
      <c r="A126" s="123"/>
      <c r="B126" s="154"/>
      <c r="C126" s="154"/>
      <c r="D126" s="154"/>
      <c r="E126" s="123"/>
      <c r="F126" s="123"/>
      <c r="G126" s="123"/>
      <c r="I126" s="119"/>
      <c r="J126" s="119"/>
      <c r="K126" s="119"/>
      <c r="L126" s="119"/>
    </row>
    <row r="127" spans="1:12" s="118" customFormat="1" ht="12.75" x14ac:dyDescent="0.2">
      <c r="A127" s="123"/>
      <c r="B127" s="154"/>
      <c r="C127" s="154"/>
      <c r="D127" s="154"/>
      <c r="E127" s="123"/>
      <c r="F127" s="123"/>
      <c r="G127" s="123"/>
      <c r="I127" s="119"/>
      <c r="J127" s="119"/>
      <c r="K127" s="119"/>
      <c r="L127" s="119"/>
    </row>
    <row r="128" spans="1:12" s="118" customFormat="1" ht="12.75" x14ac:dyDescent="0.2">
      <c r="A128" s="123"/>
      <c r="B128" s="154"/>
      <c r="C128" s="154"/>
      <c r="D128" s="154"/>
      <c r="E128" s="123"/>
      <c r="F128" s="123"/>
      <c r="G128" s="123"/>
      <c r="I128" s="119"/>
      <c r="J128" s="119"/>
      <c r="K128" s="119"/>
      <c r="L128" s="119"/>
    </row>
    <row r="129" spans="1:12" s="118" customFormat="1" ht="12.75" x14ac:dyDescent="0.2">
      <c r="A129" s="123"/>
      <c r="B129" s="154"/>
      <c r="C129" s="154"/>
      <c r="D129" s="154"/>
      <c r="E129" s="123"/>
      <c r="F129" s="123"/>
      <c r="G129" s="123"/>
      <c r="I129" s="119"/>
      <c r="J129" s="119"/>
      <c r="K129" s="119"/>
      <c r="L129" s="119"/>
    </row>
    <row r="130" spans="1:12" s="118" customFormat="1" ht="12.75" x14ac:dyDescent="0.2">
      <c r="A130" s="123"/>
      <c r="B130" s="154"/>
      <c r="C130" s="154"/>
      <c r="D130" s="154"/>
      <c r="E130" s="123"/>
      <c r="F130" s="123"/>
      <c r="G130" s="123"/>
      <c r="I130" s="119"/>
      <c r="J130" s="119"/>
      <c r="K130" s="119"/>
      <c r="L130" s="119"/>
    </row>
    <row r="131" spans="1:12" s="118" customFormat="1" ht="12.75" x14ac:dyDescent="0.2">
      <c r="A131" s="123"/>
      <c r="B131" s="154"/>
      <c r="C131" s="154"/>
      <c r="D131" s="154"/>
      <c r="E131" s="123"/>
      <c r="F131" s="123"/>
      <c r="G131" s="123"/>
      <c r="I131" s="119"/>
      <c r="J131" s="119"/>
      <c r="K131" s="119"/>
      <c r="L131" s="119"/>
    </row>
    <row r="132" spans="1:12" s="118" customFormat="1" ht="12.75" x14ac:dyDescent="0.2">
      <c r="A132" s="123"/>
      <c r="B132" s="154"/>
      <c r="C132" s="154"/>
      <c r="D132" s="154"/>
      <c r="E132" s="123"/>
      <c r="F132" s="123"/>
      <c r="G132" s="123"/>
      <c r="I132" s="119"/>
      <c r="J132" s="119"/>
      <c r="K132" s="119"/>
      <c r="L132" s="119"/>
    </row>
    <row r="133" spans="1:12" s="118" customFormat="1" ht="12.75" x14ac:dyDescent="0.2">
      <c r="A133" s="123"/>
      <c r="B133" s="154"/>
      <c r="C133" s="154"/>
      <c r="D133" s="154"/>
      <c r="E133" s="123"/>
      <c r="F133" s="123"/>
      <c r="G133" s="123"/>
      <c r="I133" s="119"/>
      <c r="J133" s="119"/>
      <c r="K133" s="119"/>
      <c r="L133" s="119"/>
    </row>
    <row r="134" spans="1:12" s="118" customFormat="1" ht="12.75" x14ac:dyDescent="0.2">
      <c r="A134" s="123"/>
      <c r="B134" s="154"/>
      <c r="C134" s="154"/>
      <c r="D134" s="154"/>
      <c r="E134" s="123"/>
      <c r="F134" s="123"/>
      <c r="G134" s="123"/>
      <c r="I134" s="119"/>
      <c r="J134" s="119"/>
      <c r="K134" s="119"/>
      <c r="L134" s="119"/>
    </row>
    <row r="135" spans="1:12" s="118" customFormat="1" ht="12.75" x14ac:dyDescent="0.2">
      <c r="A135" s="123"/>
      <c r="B135" s="154"/>
      <c r="C135" s="154"/>
      <c r="D135" s="154"/>
      <c r="E135" s="123"/>
      <c r="F135" s="123"/>
      <c r="G135" s="123"/>
      <c r="I135" s="119"/>
      <c r="J135" s="119"/>
      <c r="K135" s="119"/>
      <c r="L135" s="119"/>
    </row>
    <row r="136" spans="1:12" s="118" customFormat="1" ht="12.75" x14ac:dyDescent="0.2">
      <c r="A136" s="123"/>
      <c r="B136" s="154"/>
      <c r="C136" s="154"/>
      <c r="D136" s="154"/>
      <c r="E136" s="123"/>
      <c r="F136" s="123"/>
      <c r="G136" s="123"/>
      <c r="I136" s="119"/>
      <c r="J136" s="119"/>
      <c r="K136" s="119"/>
      <c r="L136" s="119"/>
    </row>
    <row r="137" spans="1:12" s="118" customFormat="1" ht="12.75" x14ac:dyDescent="0.2">
      <c r="A137" s="123"/>
      <c r="B137" s="154"/>
      <c r="C137" s="154"/>
      <c r="D137" s="154"/>
      <c r="E137" s="123"/>
      <c r="F137" s="123"/>
      <c r="G137" s="123"/>
      <c r="I137" s="119"/>
      <c r="J137" s="119"/>
      <c r="K137" s="119"/>
      <c r="L137" s="119"/>
    </row>
    <row r="138" spans="1:12" s="118" customFormat="1" ht="12.75" x14ac:dyDescent="0.2">
      <c r="A138" s="123"/>
      <c r="B138" s="154"/>
      <c r="C138" s="154"/>
      <c r="D138" s="154"/>
      <c r="E138" s="123"/>
      <c r="F138" s="123"/>
      <c r="G138" s="123"/>
      <c r="I138" s="119"/>
      <c r="J138" s="119"/>
      <c r="K138" s="119"/>
      <c r="L138" s="119"/>
    </row>
    <row r="139" spans="1:12" s="118" customFormat="1" ht="12.75" x14ac:dyDescent="0.2">
      <c r="A139" s="123"/>
      <c r="B139" s="154"/>
      <c r="C139" s="154"/>
      <c r="D139" s="154"/>
      <c r="E139" s="123"/>
      <c r="F139" s="123"/>
      <c r="G139" s="123"/>
      <c r="I139" s="119"/>
      <c r="J139" s="119"/>
      <c r="K139" s="119"/>
      <c r="L139" s="119"/>
    </row>
    <row r="140" spans="1:12" s="118" customFormat="1" ht="12.75" x14ac:dyDescent="0.2">
      <c r="A140" s="123"/>
      <c r="B140" s="154"/>
      <c r="C140" s="154"/>
      <c r="D140" s="154"/>
      <c r="E140" s="123"/>
      <c r="F140" s="123"/>
      <c r="G140" s="123"/>
      <c r="I140" s="119"/>
      <c r="J140" s="119"/>
      <c r="K140" s="119"/>
      <c r="L140" s="119"/>
    </row>
    <row r="141" spans="1:12" s="118" customFormat="1" ht="12.75" x14ac:dyDescent="0.2">
      <c r="A141" s="123"/>
      <c r="B141" s="154"/>
      <c r="C141" s="154"/>
      <c r="D141" s="154"/>
      <c r="E141" s="123"/>
      <c r="F141" s="123"/>
      <c r="G141" s="123"/>
      <c r="I141" s="119"/>
      <c r="J141" s="119"/>
      <c r="K141" s="119"/>
      <c r="L141" s="119"/>
    </row>
    <row r="142" spans="1:12" s="118" customFormat="1" ht="12.75" x14ac:dyDescent="0.2">
      <c r="A142" s="123"/>
      <c r="B142" s="154"/>
      <c r="C142" s="154"/>
      <c r="D142" s="154"/>
      <c r="E142" s="123"/>
      <c r="F142" s="123"/>
      <c r="G142" s="123"/>
      <c r="I142" s="119"/>
      <c r="J142" s="119"/>
      <c r="K142" s="119"/>
      <c r="L142" s="119"/>
    </row>
    <row r="143" spans="1:12" s="118" customFormat="1" ht="12.75" x14ac:dyDescent="0.2">
      <c r="A143" s="123"/>
      <c r="B143" s="154"/>
      <c r="C143" s="154"/>
      <c r="D143" s="154"/>
      <c r="E143" s="123"/>
      <c r="F143" s="123"/>
      <c r="G143" s="123"/>
      <c r="I143" s="119"/>
      <c r="J143" s="119"/>
      <c r="K143" s="119"/>
      <c r="L143" s="119"/>
    </row>
    <row r="144" spans="1:12" s="118" customFormat="1" ht="12.75" x14ac:dyDescent="0.2">
      <c r="A144" s="123"/>
      <c r="B144" s="154"/>
      <c r="C144" s="154"/>
      <c r="D144" s="154"/>
      <c r="E144" s="123"/>
      <c r="F144" s="123"/>
      <c r="G144" s="123"/>
      <c r="I144" s="119"/>
      <c r="J144" s="119"/>
      <c r="K144" s="119"/>
      <c r="L144" s="119"/>
    </row>
    <row r="145" spans="1:12" s="118" customFormat="1" ht="12.75" x14ac:dyDescent="0.2">
      <c r="A145" s="123"/>
      <c r="B145" s="154"/>
      <c r="C145" s="154"/>
      <c r="D145" s="154"/>
      <c r="E145" s="123"/>
      <c r="F145" s="123"/>
      <c r="G145" s="123"/>
      <c r="I145" s="119"/>
      <c r="J145" s="119"/>
      <c r="K145" s="119"/>
      <c r="L145" s="119"/>
    </row>
    <row r="146" spans="1:12" s="118" customFormat="1" ht="12.75" x14ac:dyDescent="0.2">
      <c r="A146" s="123"/>
      <c r="B146" s="154"/>
      <c r="C146" s="154"/>
      <c r="D146" s="154"/>
      <c r="E146" s="123"/>
      <c r="F146" s="123"/>
      <c r="G146" s="123"/>
      <c r="I146" s="119"/>
      <c r="J146" s="119"/>
      <c r="K146" s="119"/>
      <c r="L146" s="119"/>
    </row>
    <row r="147" spans="1:12" s="118" customFormat="1" ht="12.75" x14ac:dyDescent="0.2">
      <c r="A147" s="123"/>
      <c r="B147" s="154"/>
      <c r="C147" s="154"/>
      <c r="D147" s="154"/>
      <c r="E147" s="123"/>
      <c r="F147" s="123"/>
      <c r="G147" s="123"/>
      <c r="I147" s="119"/>
      <c r="J147" s="119"/>
      <c r="K147" s="119"/>
      <c r="L147" s="119"/>
    </row>
    <row r="148" spans="1:12" s="118" customFormat="1" ht="12.75" x14ac:dyDescent="0.2">
      <c r="A148" s="123"/>
      <c r="B148" s="154"/>
      <c r="C148" s="154"/>
      <c r="D148" s="154"/>
      <c r="E148" s="123"/>
      <c r="F148" s="123"/>
      <c r="G148" s="123"/>
      <c r="I148" s="119"/>
      <c r="J148" s="119"/>
      <c r="K148" s="119"/>
      <c r="L148" s="119"/>
    </row>
    <row r="149" spans="1:12" s="118" customFormat="1" ht="12.75" x14ac:dyDescent="0.2">
      <c r="A149" s="123"/>
      <c r="B149" s="154"/>
      <c r="C149" s="154"/>
      <c r="D149" s="154"/>
      <c r="E149" s="123"/>
      <c r="F149" s="123"/>
      <c r="G149" s="123"/>
      <c r="I149" s="119"/>
      <c r="J149" s="119"/>
      <c r="K149" s="119"/>
      <c r="L149" s="119"/>
    </row>
    <row r="150" spans="1:12" s="118" customFormat="1" ht="12.75" x14ac:dyDescent="0.2">
      <c r="A150" s="123"/>
      <c r="B150" s="154"/>
      <c r="C150" s="154"/>
      <c r="D150" s="154"/>
      <c r="E150" s="123"/>
      <c r="F150" s="123"/>
      <c r="G150" s="123"/>
      <c r="I150" s="119"/>
      <c r="J150" s="119"/>
      <c r="K150" s="119"/>
      <c r="L150" s="119"/>
    </row>
    <row r="151" spans="1:12" s="118" customFormat="1" ht="12.75" x14ac:dyDescent="0.2">
      <c r="A151" s="123"/>
      <c r="B151" s="154"/>
      <c r="C151" s="154"/>
      <c r="D151" s="154"/>
      <c r="E151" s="123"/>
      <c r="F151" s="123"/>
      <c r="G151" s="123"/>
      <c r="I151" s="119"/>
      <c r="J151" s="119"/>
      <c r="K151" s="119"/>
      <c r="L151" s="119"/>
    </row>
    <row r="152" spans="1:12" s="118" customFormat="1" ht="12.75" x14ac:dyDescent="0.2">
      <c r="A152" s="123"/>
      <c r="B152" s="154"/>
      <c r="C152" s="154"/>
      <c r="D152" s="154"/>
      <c r="E152" s="123"/>
      <c r="F152" s="123"/>
      <c r="G152" s="123"/>
      <c r="I152" s="119"/>
      <c r="J152" s="119"/>
      <c r="K152" s="119"/>
      <c r="L152" s="119"/>
    </row>
    <row r="153" spans="1:12" s="118" customFormat="1" ht="12.75" x14ac:dyDescent="0.2">
      <c r="A153" s="123"/>
      <c r="B153" s="154"/>
      <c r="C153" s="154"/>
      <c r="D153" s="154"/>
      <c r="E153" s="123"/>
      <c r="F153" s="123"/>
      <c r="G153" s="123"/>
      <c r="I153" s="119"/>
      <c r="J153" s="119"/>
      <c r="K153" s="119"/>
      <c r="L153" s="119"/>
    </row>
    <row r="154" spans="1:12" s="118" customFormat="1" ht="12.75" x14ac:dyDescent="0.2">
      <c r="A154" s="123"/>
      <c r="B154" s="154"/>
      <c r="C154" s="154"/>
      <c r="D154" s="154"/>
      <c r="E154" s="123"/>
      <c r="F154" s="123"/>
      <c r="G154" s="123"/>
      <c r="I154" s="119"/>
      <c r="J154" s="119"/>
      <c r="K154" s="119"/>
      <c r="L154" s="119"/>
    </row>
    <row r="155" spans="1:12" s="118" customFormat="1" ht="12.75" x14ac:dyDescent="0.2">
      <c r="A155" s="123"/>
      <c r="B155" s="154"/>
      <c r="C155" s="154"/>
      <c r="D155" s="154"/>
      <c r="E155" s="123"/>
      <c r="F155" s="123"/>
      <c r="G155" s="123"/>
      <c r="I155" s="119"/>
      <c r="J155" s="119"/>
      <c r="K155" s="119"/>
      <c r="L155" s="119"/>
    </row>
    <row r="156" spans="1:12" s="118" customFormat="1" ht="12.75" x14ac:dyDescent="0.2">
      <c r="A156" s="123"/>
      <c r="B156" s="154"/>
      <c r="C156" s="154"/>
      <c r="D156" s="154"/>
      <c r="E156" s="123"/>
      <c r="F156" s="123"/>
      <c r="G156" s="123"/>
      <c r="I156" s="119"/>
      <c r="J156" s="119"/>
      <c r="K156" s="119"/>
      <c r="L156" s="119"/>
    </row>
    <row r="157" spans="1:12" s="118" customFormat="1" ht="12.75" x14ac:dyDescent="0.2">
      <c r="A157" s="123"/>
      <c r="B157" s="154"/>
      <c r="C157" s="154"/>
      <c r="D157" s="154"/>
      <c r="E157" s="123"/>
      <c r="F157" s="123"/>
      <c r="G157" s="123"/>
      <c r="I157" s="119"/>
      <c r="J157" s="119"/>
      <c r="K157" s="119"/>
      <c r="L157" s="119"/>
    </row>
    <row r="158" spans="1:12" s="118" customFormat="1" ht="12.75" x14ac:dyDescent="0.2">
      <c r="A158" s="123"/>
      <c r="B158" s="154"/>
      <c r="C158" s="154"/>
      <c r="D158" s="154"/>
      <c r="E158" s="123"/>
      <c r="F158" s="123"/>
      <c r="G158" s="123"/>
      <c r="I158" s="119"/>
      <c r="J158" s="119"/>
      <c r="K158" s="119"/>
      <c r="L158" s="119"/>
    </row>
    <row r="159" spans="1:12" s="118" customFormat="1" ht="12.75" x14ac:dyDescent="0.2">
      <c r="A159" s="123"/>
      <c r="B159" s="154"/>
      <c r="C159" s="154"/>
      <c r="D159" s="154"/>
      <c r="E159" s="123"/>
      <c r="F159" s="123"/>
      <c r="G159" s="123"/>
      <c r="I159" s="119"/>
      <c r="J159" s="119"/>
      <c r="K159" s="119"/>
      <c r="L159" s="119"/>
    </row>
    <row r="160" spans="1:12" s="118" customFormat="1" ht="12.75" x14ac:dyDescent="0.2">
      <c r="A160" s="123"/>
      <c r="B160" s="154"/>
      <c r="C160" s="154"/>
      <c r="D160" s="154"/>
      <c r="E160" s="123"/>
      <c r="F160" s="123"/>
      <c r="G160" s="123"/>
      <c r="I160" s="119"/>
      <c r="J160" s="119"/>
      <c r="K160" s="119"/>
      <c r="L160" s="119"/>
    </row>
    <row r="161" spans="1:12" s="118" customFormat="1" ht="12.75" x14ac:dyDescent="0.2">
      <c r="A161" s="123"/>
      <c r="B161" s="154"/>
      <c r="C161" s="154"/>
      <c r="D161" s="154"/>
      <c r="E161" s="123"/>
      <c r="F161" s="123"/>
      <c r="G161" s="123"/>
      <c r="I161" s="119"/>
      <c r="J161" s="119"/>
      <c r="K161" s="119"/>
      <c r="L161" s="119"/>
    </row>
    <row r="162" spans="1:12" s="118" customFormat="1" ht="12.75" x14ac:dyDescent="0.2">
      <c r="A162" s="123"/>
      <c r="B162" s="154"/>
      <c r="C162" s="154"/>
      <c r="D162" s="154"/>
      <c r="E162" s="123"/>
      <c r="F162" s="123"/>
      <c r="G162" s="123"/>
      <c r="I162" s="119"/>
      <c r="J162" s="119"/>
      <c r="K162" s="119"/>
      <c r="L162" s="119"/>
    </row>
    <row r="163" spans="1:12" s="118" customFormat="1" ht="12.75" x14ac:dyDescent="0.2">
      <c r="A163" s="123"/>
      <c r="B163" s="154"/>
      <c r="C163" s="154"/>
      <c r="D163" s="154"/>
      <c r="E163" s="123"/>
      <c r="F163" s="123"/>
      <c r="G163" s="123"/>
      <c r="I163" s="119"/>
      <c r="J163" s="119"/>
      <c r="K163" s="119"/>
      <c r="L163" s="119"/>
    </row>
    <row r="164" spans="1:12" s="118" customFormat="1" ht="12.75" x14ac:dyDescent="0.2">
      <c r="A164" s="123"/>
      <c r="B164" s="154"/>
      <c r="C164" s="154"/>
      <c r="D164" s="154"/>
      <c r="E164" s="123"/>
      <c r="F164" s="123"/>
      <c r="G164" s="123"/>
      <c r="I164" s="119"/>
      <c r="J164" s="119"/>
      <c r="K164" s="119"/>
      <c r="L164" s="119"/>
    </row>
    <row r="165" spans="1:12" s="118" customFormat="1" ht="12.75" x14ac:dyDescent="0.2">
      <c r="A165" s="123"/>
      <c r="B165" s="154"/>
      <c r="C165" s="154"/>
      <c r="D165" s="154"/>
      <c r="E165" s="123"/>
      <c r="F165" s="123"/>
      <c r="G165" s="123"/>
      <c r="I165" s="119"/>
      <c r="J165" s="119"/>
      <c r="K165" s="119"/>
      <c r="L165" s="119"/>
    </row>
    <row r="166" spans="1:12" s="118" customFormat="1" ht="12.75" x14ac:dyDescent="0.2">
      <c r="A166" s="123"/>
      <c r="B166" s="154"/>
      <c r="C166" s="154"/>
      <c r="D166" s="154"/>
      <c r="E166" s="123"/>
      <c r="F166" s="123"/>
      <c r="G166" s="123"/>
      <c r="I166" s="119"/>
      <c r="J166" s="119"/>
      <c r="K166" s="119"/>
      <c r="L166" s="119"/>
    </row>
    <row r="167" spans="1:12" s="118" customFormat="1" ht="12.75" x14ac:dyDescent="0.2">
      <c r="A167" s="123"/>
      <c r="B167" s="154"/>
      <c r="C167" s="154"/>
      <c r="D167" s="154"/>
      <c r="E167" s="123"/>
      <c r="F167" s="123"/>
      <c r="G167" s="123"/>
      <c r="I167" s="119"/>
      <c r="J167" s="119"/>
      <c r="K167" s="119"/>
      <c r="L167" s="119"/>
    </row>
    <row r="168" spans="1:12" s="118" customFormat="1" ht="12.75" x14ac:dyDescent="0.2">
      <c r="A168" s="123"/>
      <c r="B168" s="154"/>
      <c r="C168" s="154"/>
      <c r="D168" s="154"/>
      <c r="E168" s="123"/>
      <c r="F168" s="123"/>
      <c r="G168" s="123"/>
      <c r="I168" s="119"/>
      <c r="J168" s="119"/>
      <c r="K168" s="119"/>
      <c r="L168" s="119"/>
    </row>
    <row r="169" spans="1:12" s="118" customFormat="1" ht="12.75" x14ac:dyDescent="0.2">
      <c r="A169" s="123"/>
      <c r="B169" s="154"/>
      <c r="C169" s="154"/>
      <c r="D169" s="154"/>
      <c r="E169" s="123"/>
      <c r="F169" s="123"/>
      <c r="G169" s="123"/>
      <c r="I169" s="119"/>
      <c r="J169" s="119"/>
      <c r="K169" s="119"/>
      <c r="L169" s="119"/>
    </row>
    <row r="170" spans="1:12" s="118" customFormat="1" ht="12.75" x14ac:dyDescent="0.2">
      <c r="A170" s="123"/>
      <c r="B170" s="154"/>
      <c r="C170" s="154"/>
      <c r="D170" s="154"/>
      <c r="E170" s="123"/>
      <c r="F170" s="123"/>
      <c r="G170" s="123"/>
      <c r="I170" s="119"/>
      <c r="J170" s="119"/>
      <c r="K170" s="119"/>
      <c r="L170" s="119"/>
    </row>
    <row r="171" spans="1:12" s="118" customFormat="1" ht="12.75" x14ac:dyDescent="0.2">
      <c r="A171" s="123"/>
      <c r="B171" s="154"/>
      <c r="C171" s="154"/>
      <c r="D171" s="154"/>
      <c r="E171" s="123"/>
      <c r="F171" s="123"/>
      <c r="G171" s="123"/>
      <c r="I171" s="119"/>
      <c r="J171" s="119"/>
      <c r="K171" s="119"/>
      <c r="L171" s="119"/>
    </row>
    <row r="172" spans="1:12" s="118" customFormat="1" ht="12.75" x14ac:dyDescent="0.2">
      <c r="A172" s="123"/>
      <c r="B172" s="154"/>
      <c r="C172" s="154"/>
      <c r="D172" s="154"/>
      <c r="E172" s="123"/>
      <c r="F172" s="123"/>
      <c r="G172" s="123"/>
      <c r="I172" s="119"/>
      <c r="J172" s="119"/>
      <c r="K172" s="119"/>
      <c r="L172" s="119"/>
    </row>
    <row r="173" spans="1:12" s="118" customFormat="1" ht="12.75" x14ac:dyDescent="0.2">
      <c r="A173" s="123"/>
      <c r="B173" s="154"/>
      <c r="C173" s="154"/>
      <c r="D173" s="154"/>
      <c r="E173" s="123"/>
      <c r="F173" s="123"/>
      <c r="G173" s="123"/>
      <c r="I173" s="119"/>
      <c r="J173" s="119"/>
      <c r="K173" s="119"/>
      <c r="L173" s="119"/>
    </row>
    <row r="174" spans="1:12" s="118" customFormat="1" ht="12.75" x14ac:dyDescent="0.2">
      <c r="A174" s="123"/>
      <c r="B174" s="154"/>
      <c r="C174" s="154"/>
      <c r="D174" s="154"/>
      <c r="E174" s="123"/>
      <c r="F174" s="123"/>
      <c r="G174" s="123"/>
      <c r="I174" s="119"/>
      <c r="J174" s="119"/>
      <c r="K174" s="119"/>
      <c r="L174" s="119"/>
    </row>
    <row r="175" spans="1:12" s="118" customFormat="1" ht="12.75" x14ac:dyDescent="0.2">
      <c r="A175" s="123"/>
      <c r="B175" s="154"/>
      <c r="C175" s="154"/>
      <c r="D175" s="154"/>
      <c r="E175" s="123"/>
      <c r="F175" s="123"/>
      <c r="G175" s="123"/>
      <c r="I175" s="119"/>
      <c r="J175" s="119"/>
      <c r="K175" s="119"/>
      <c r="L175" s="119"/>
    </row>
    <row r="176" spans="1:12" s="118" customFormat="1" ht="12.75" x14ac:dyDescent="0.2">
      <c r="A176" s="123"/>
      <c r="B176" s="154"/>
      <c r="C176" s="154"/>
      <c r="D176" s="154"/>
      <c r="E176" s="123"/>
      <c r="F176" s="123"/>
      <c r="G176" s="123"/>
      <c r="I176" s="119"/>
      <c r="J176" s="119"/>
      <c r="K176" s="119"/>
      <c r="L176" s="119"/>
    </row>
    <row r="177" spans="1:12" s="118" customFormat="1" ht="12.75" x14ac:dyDescent="0.2">
      <c r="A177" s="123"/>
      <c r="B177" s="154"/>
      <c r="C177" s="154"/>
      <c r="D177" s="154"/>
      <c r="E177" s="123"/>
      <c r="F177" s="123"/>
      <c r="G177" s="123"/>
      <c r="I177" s="119"/>
      <c r="J177" s="119"/>
      <c r="K177" s="119"/>
      <c r="L177" s="119"/>
    </row>
    <row r="178" spans="1:12" s="118" customFormat="1" ht="12.75" x14ac:dyDescent="0.2">
      <c r="A178" s="123"/>
      <c r="B178" s="154"/>
      <c r="C178" s="154"/>
      <c r="D178" s="154"/>
      <c r="E178" s="123"/>
      <c r="F178" s="123"/>
      <c r="G178" s="123"/>
      <c r="I178" s="119"/>
      <c r="J178" s="119"/>
      <c r="K178" s="119"/>
      <c r="L178" s="119"/>
    </row>
    <row r="179" spans="1:12" s="118" customFormat="1" ht="12.75" x14ac:dyDescent="0.2">
      <c r="A179" s="123"/>
      <c r="B179" s="154"/>
      <c r="C179" s="154"/>
      <c r="D179" s="154"/>
      <c r="E179" s="123"/>
      <c r="F179" s="123"/>
      <c r="G179" s="123"/>
      <c r="I179" s="119"/>
      <c r="J179" s="119"/>
      <c r="K179" s="119"/>
      <c r="L179" s="119"/>
    </row>
    <row r="180" spans="1:12" s="118" customFormat="1" ht="12.75" x14ac:dyDescent="0.2">
      <c r="A180" s="123"/>
      <c r="B180" s="154"/>
      <c r="C180" s="154"/>
      <c r="D180" s="154"/>
      <c r="E180" s="123"/>
      <c r="F180" s="123"/>
      <c r="G180" s="123"/>
      <c r="I180" s="119"/>
      <c r="J180" s="119"/>
      <c r="K180" s="119"/>
      <c r="L180" s="119"/>
    </row>
    <row r="181" spans="1:12" s="118" customFormat="1" ht="12.75" x14ac:dyDescent="0.2">
      <c r="A181" s="123"/>
      <c r="B181" s="154"/>
      <c r="C181" s="154"/>
      <c r="D181" s="154"/>
      <c r="E181" s="123"/>
      <c r="F181" s="123"/>
      <c r="G181" s="123"/>
      <c r="I181" s="119"/>
      <c r="J181" s="119"/>
      <c r="K181" s="119"/>
      <c r="L181" s="119"/>
    </row>
  </sheetData>
  <dataConsolidate/>
  <mergeCells count="339">
    <mergeCell ref="H5:H7"/>
    <mergeCell ref="AT6:AT8"/>
    <mergeCell ref="AR1:AY2"/>
    <mergeCell ref="AR3:AY3"/>
    <mergeCell ref="M5:M8"/>
    <mergeCell ref="N5:N8"/>
    <mergeCell ref="AY6:AY8"/>
    <mergeCell ref="AN7:AN8"/>
    <mergeCell ref="A4:M4"/>
    <mergeCell ref="N4:T4"/>
    <mergeCell ref="U4:AC4"/>
    <mergeCell ref="AD4:AJ4"/>
    <mergeCell ref="AK4:AN4"/>
    <mergeCell ref="AO4:AP5"/>
    <mergeCell ref="AU4:AV5"/>
    <mergeCell ref="AW4:AY5"/>
    <mergeCell ref="A5:A8"/>
    <mergeCell ref="B5:B8"/>
    <mergeCell ref="E5:E8"/>
    <mergeCell ref="O5:O8"/>
    <mergeCell ref="P5:P8"/>
    <mergeCell ref="Q5:Q8"/>
    <mergeCell ref="R5:R8"/>
    <mergeCell ref="S5:S8"/>
    <mergeCell ref="T5:T8"/>
    <mergeCell ref="L5:L8"/>
    <mergeCell ref="L9:L14"/>
    <mergeCell ref="J15:J20"/>
    <mergeCell ref="L15:L20"/>
    <mergeCell ref="AW6:AW8"/>
    <mergeCell ref="AX6:AX8"/>
    <mergeCell ref="AL5:AL8"/>
    <mergeCell ref="AM5:AM8"/>
    <mergeCell ref="AN5:AN6"/>
    <mergeCell ref="X6:X8"/>
    <mergeCell ref="Y6:Y8"/>
    <mergeCell ref="Z6:Z8"/>
    <mergeCell ref="AA6:AA8"/>
    <mergeCell ref="AB6:AB8"/>
    <mergeCell ref="AC6:AC8"/>
    <mergeCell ref="X5:AC5"/>
    <mergeCell ref="AD5:AD8"/>
    <mergeCell ref="AE5:AE8"/>
    <mergeCell ref="AF5:AF8"/>
    <mergeCell ref="AG5:AG8"/>
    <mergeCell ref="AH5:AH8"/>
    <mergeCell ref="AI5:AI8"/>
    <mergeCell ref="AJ5:AJ8"/>
    <mergeCell ref="AK5:AK8"/>
    <mergeCell ref="T15:T20"/>
    <mergeCell ref="I9:I14"/>
    <mergeCell ref="M9:M14"/>
    <mergeCell ref="N9:N14"/>
    <mergeCell ref="I15:I20"/>
    <mergeCell ref="M15:M20"/>
    <mergeCell ref="N15:N20"/>
    <mergeCell ref="O15:O20"/>
    <mergeCell ref="P15:P20"/>
    <mergeCell ref="H21:H26"/>
    <mergeCell ref="I21:I26"/>
    <mergeCell ref="AQ4:AT5"/>
    <mergeCell ref="J5:J8"/>
    <mergeCell ref="U5:U8"/>
    <mergeCell ref="V5:V8"/>
    <mergeCell ref="W5:W8"/>
    <mergeCell ref="A9:A14"/>
    <mergeCell ref="E9:E14"/>
    <mergeCell ref="H9:H14"/>
    <mergeCell ref="T9:T14"/>
    <mergeCell ref="O9:O14"/>
    <mergeCell ref="P9:P14"/>
    <mergeCell ref="Q9:Q14"/>
    <mergeCell ref="R9:R14"/>
    <mergeCell ref="S9:S14"/>
    <mergeCell ref="B9:B14"/>
    <mergeCell ref="J9:J14"/>
    <mergeCell ref="C5:C8"/>
    <mergeCell ref="D5:D8"/>
    <mergeCell ref="I5:I8"/>
    <mergeCell ref="Q15:Q20"/>
    <mergeCell ref="R15:R20"/>
    <mergeCell ref="S15:S20"/>
    <mergeCell ref="R27:R32"/>
    <mergeCell ref="S27:S32"/>
    <mergeCell ref="T27:T32"/>
    <mergeCell ref="P21:P26"/>
    <mergeCell ref="Q21:Q26"/>
    <mergeCell ref="R21:R26"/>
    <mergeCell ref="B27:B32"/>
    <mergeCell ref="J21:J26"/>
    <mergeCell ref="J27:J32"/>
    <mergeCell ref="L21:L26"/>
    <mergeCell ref="L27:L32"/>
    <mergeCell ref="E27:E32"/>
    <mergeCell ref="H27:H32"/>
    <mergeCell ref="I27:I32"/>
    <mergeCell ref="M27:M32"/>
    <mergeCell ref="N27:N32"/>
    <mergeCell ref="O27:O32"/>
    <mergeCell ref="M21:M26"/>
    <mergeCell ref="N21:N26"/>
    <mergeCell ref="O21:O26"/>
    <mergeCell ref="B21:B26"/>
    <mergeCell ref="S21:S26"/>
    <mergeCell ref="T21:T26"/>
    <mergeCell ref="E21:E26"/>
    <mergeCell ref="I33:I38"/>
    <mergeCell ref="M33:M38"/>
    <mergeCell ref="N33:N38"/>
    <mergeCell ref="O33:O38"/>
    <mergeCell ref="P33:P38"/>
    <mergeCell ref="M39:M44"/>
    <mergeCell ref="N39:N44"/>
    <mergeCell ref="P27:P32"/>
    <mergeCell ref="Q27:Q32"/>
    <mergeCell ref="Q33:Q38"/>
    <mergeCell ref="A45:A50"/>
    <mergeCell ref="E45:E50"/>
    <mergeCell ref="H45:H50"/>
    <mergeCell ref="B33:B38"/>
    <mergeCell ref="B39:B44"/>
    <mergeCell ref="B45:B50"/>
    <mergeCell ref="B51:B56"/>
    <mergeCell ref="S33:S38"/>
    <mergeCell ref="T33:T38"/>
    <mergeCell ref="S39:S44"/>
    <mergeCell ref="T39:T44"/>
    <mergeCell ref="P45:P50"/>
    <mergeCell ref="Q45:Q50"/>
    <mergeCell ref="R45:R50"/>
    <mergeCell ref="A33:A38"/>
    <mergeCell ref="E33:E38"/>
    <mergeCell ref="A39:A44"/>
    <mergeCell ref="E39:E44"/>
    <mergeCell ref="H39:H44"/>
    <mergeCell ref="I39:I44"/>
    <mergeCell ref="H33:H38"/>
    <mergeCell ref="P39:P44"/>
    <mergeCell ref="Q39:Q44"/>
    <mergeCell ref="R39:R44"/>
    <mergeCell ref="A57:A62"/>
    <mergeCell ref="E57:E62"/>
    <mergeCell ref="H57:H62"/>
    <mergeCell ref="I57:I62"/>
    <mergeCell ref="M57:M62"/>
    <mergeCell ref="N57:N62"/>
    <mergeCell ref="O57:O62"/>
    <mergeCell ref="B57:B62"/>
    <mergeCell ref="S45:S50"/>
    <mergeCell ref="I51:I56"/>
    <mergeCell ref="M51:M56"/>
    <mergeCell ref="N51:N56"/>
    <mergeCell ref="O51:O56"/>
    <mergeCell ref="P51:P56"/>
    <mergeCell ref="I45:I50"/>
    <mergeCell ref="M45:M50"/>
    <mergeCell ref="N45:N50"/>
    <mergeCell ref="O45:O50"/>
    <mergeCell ref="Q51:Q56"/>
    <mergeCell ref="R51:R56"/>
    <mergeCell ref="S51:S56"/>
    <mergeCell ref="L57:L62"/>
    <mergeCell ref="A51:A56"/>
    <mergeCell ref="E51:E56"/>
    <mergeCell ref="A63:A68"/>
    <mergeCell ref="E63:E68"/>
    <mergeCell ref="H63:H68"/>
    <mergeCell ref="I63:I68"/>
    <mergeCell ref="M63:M68"/>
    <mergeCell ref="N63:N68"/>
    <mergeCell ref="O63:O68"/>
    <mergeCell ref="P63:P68"/>
    <mergeCell ref="Q63:Q68"/>
    <mergeCell ref="B63:B68"/>
    <mergeCell ref="AV21:AV26"/>
    <mergeCell ref="AW21:AW26"/>
    <mergeCell ref="AJ51:AJ56"/>
    <mergeCell ref="AJ57:AJ62"/>
    <mergeCell ref="AJ63:AJ68"/>
    <mergeCell ref="AJ9:AJ14"/>
    <mergeCell ref="AJ15:AJ20"/>
    <mergeCell ref="AJ21:AJ26"/>
    <mergeCell ref="S57:S62"/>
    <mergeCell ref="T57:T62"/>
    <mergeCell ref="S63:S68"/>
    <mergeCell ref="T63:T68"/>
    <mergeCell ref="T45:T50"/>
    <mergeCell ref="T51:T56"/>
    <mergeCell ref="AT27:AT32"/>
    <mergeCell ref="AU27:AU32"/>
    <mergeCell ref="AV27:AV32"/>
    <mergeCell ref="AW27:AW32"/>
    <mergeCell ref="AV63:AV68"/>
    <mergeCell ref="AW63:AW68"/>
    <mergeCell ref="AV51:AV56"/>
    <mergeCell ref="AW51:AW56"/>
    <mergeCell ref="AT51:AT56"/>
    <mergeCell ref="AU51:AU56"/>
    <mergeCell ref="AY21:AY26"/>
    <mergeCell ref="AO27:AO32"/>
    <mergeCell ref="AP27:AP32"/>
    <mergeCell ref="AQ27:AQ32"/>
    <mergeCell ref="AX27:AX32"/>
    <mergeCell ref="AY27:AY32"/>
    <mergeCell ref="AX21:AX26"/>
    <mergeCell ref="AY9:AY14"/>
    <mergeCell ref="AO15:AO20"/>
    <mergeCell ref="AP15:AP20"/>
    <mergeCell ref="AQ15:AQ20"/>
    <mergeCell ref="AT15:AT20"/>
    <mergeCell ref="AU15:AU20"/>
    <mergeCell ref="AV15:AV20"/>
    <mergeCell ref="AW15:AW20"/>
    <mergeCell ref="AX15:AX20"/>
    <mergeCell ref="AY15:AY20"/>
    <mergeCell ref="AO9:AO14"/>
    <mergeCell ref="AP9:AP14"/>
    <mergeCell ref="AQ9:AQ14"/>
    <mergeCell ref="AT9:AT14"/>
    <mergeCell ref="AU9:AU14"/>
    <mergeCell ref="AV9:AV14"/>
    <mergeCell ref="AW9:AW14"/>
    <mergeCell ref="AY33:AY38"/>
    <mergeCell ref="AO39:AO44"/>
    <mergeCell ref="AP39:AP44"/>
    <mergeCell ref="AQ39:AQ44"/>
    <mergeCell ref="AT39:AT44"/>
    <mergeCell ref="AU39:AU44"/>
    <mergeCell ref="AV39:AV44"/>
    <mergeCell ref="AW39:AW44"/>
    <mergeCell ref="AX39:AX44"/>
    <mergeCell ref="AY39:AY44"/>
    <mergeCell ref="AO33:AO38"/>
    <mergeCell ref="AP33:AP38"/>
    <mergeCell ref="AQ33:AQ38"/>
    <mergeCell ref="G1:AQ1"/>
    <mergeCell ref="G2:AQ2"/>
    <mergeCell ref="A3:E3"/>
    <mergeCell ref="G3:AQ3"/>
    <mergeCell ref="AT33:AT38"/>
    <mergeCell ref="AU33:AU38"/>
    <mergeCell ref="AV33:AV38"/>
    <mergeCell ref="AW33:AW38"/>
    <mergeCell ref="AX33:AX38"/>
    <mergeCell ref="AX9:AX14"/>
    <mergeCell ref="AJ27:AJ32"/>
    <mergeCell ref="AJ33:AJ38"/>
    <mergeCell ref="AO6:AO8"/>
    <mergeCell ref="AP6:AP8"/>
    <mergeCell ref="AQ6:AQ7"/>
    <mergeCell ref="AR6:AR8"/>
    <mergeCell ref="AS6:AS8"/>
    <mergeCell ref="AU6:AU8"/>
    <mergeCell ref="AV6:AV8"/>
    <mergeCell ref="AO21:AO26"/>
    <mergeCell ref="AP21:AP26"/>
    <mergeCell ref="AQ21:AQ26"/>
    <mergeCell ref="AT21:AT26"/>
    <mergeCell ref="AU21:AU26"/>
    <mergeCell ref="C39:C44"/>
    <mergeCell ref="C45:C50"/>
    <mergeCell ref="C51:C56"/>
    <mergeCell ref="C57:C62"/>
    <mergeCell ref="C63:C68"/>
    <mergeCell ref="AO51:AO56"/>
    <mergeCell ref="AP51:AP56"/>
    <mergeCell ref="D51:D56"/>
    <mergeCell ref="D57:D62"/>
    <mergeCell ref="D63:D68"/>
    <mergeCell ref="R63:R68"/>
    <mergeCell ref="P57:P62"/>
    <mergeCell ref="Q57:Q62"/>
    <mergeCell ref="R57:R62"/>
    <mergeCell ref="O39:O44"/>
    <mergeCell ref="H51:H56"/>
    <mergeCell ref="L63:L68"/>
    <mergeCell ref="J45:J50"/>
    <mergeCell ref="J51:J56"/>
    <mergeCell ref="J57:J62"/>
    <mergeCell ref="J63:J68"/>
    <mergeCell ref="AJ39:AJ44"/>
    <mergeCell ref="AJ45:AJ50"/>
    <mergeCell ref="AO45:AO50"/>
    <mergeCell ref="F5:F8"/>
    <mergeCell ref="A1:F2"/>
    <mergeCell ref="C9:C14"/>
    <mergeCell ref="C15:C20"/>
    <mergeCell ref="C21:C26"/>
    <mergeCell ref="C27:C32"/>
    <mergeCell ref="C33:C38"/>
    <mergeCell ref="A27:A32"/>
    <mergeCell ref="B15:B20"/>
    <mergeCell ref="A15:A20"/>
    <mergeCell ref="E15:E20"/>
    <mergeCell ref="A21:A26"/>
    <mergeCell ref="J39:J44"/>
    <mergeCell ref="AX63:AX68"/>
    <mergeCell ref="AY63:AY68"/>
    <mergeCell ref="AO57:AO62"/>
    <mergeCell ref="AP57:AP62"/>
    <mergeCell ref="AQ57:AQ62"/>
    <mergeCell ref="AT57:AT62"/>
    <mergeCell ref="AU57:AU62"/>
    <mergeCell ref="AV57:AV62"/>
    <mergeCell ref="AW57:AW62"/>
    <mergeCell ref="AX57:AX62"/>
    <mergeCell ref="AY57:AY62"/>
    <mergeCell ref="AO63:AO68"/>
    <mergeCell ref="AP63:AP68"/>
    <mergeCell ref="AQ63:AQ68"/>
    <mergeCell ref="AT63:AT68"/>
    <mergeCell ref="AU63:AU68"/>
    <mergeCell ref="AY45:AY50"/>
    <mergeCell ref="AP45:AP50"/>
    <mergeCell ref="AQ45:AQ50"/>
    <mergeCell ref="R33:R38"/>
    <mergeCell ref="AX51:AX56"/>
    <mergeCell ref="AY51:AY56"/>
    <mergeCell ref="G5:G8"/>
    <mergeCell ref="K5:K7"/>
    <mergeCell ref="D9:D14"/>
    <mergeCell ref="D15:D20"/>
    <mergeCell ref="D21:D26"/>
    <mergeCell ref="D27:D32"/>
    <mergeCell ref="D33:D38"/>
    <mergeCell ref="D39:D44"/>
    <mergeCell ref="D45:D50"/>
    <mergeCell ref="H15:H20"/>
    <mergeCell ref="L33:L38"/>
    <mergeCell ref="L39:L44"/>
    <mergeCell ref="L45:L50"/>
    <mergeCell ref="L51:L56"/>
    <mergeCell ref="AQ51:AQ56"/>
    <mergeCell ref="AT45:AT50"/>
    <mergeCell ref="AU45:AU50"/>
    <mergeCell ref="AV45:AV50"/>
    <mergeCell ref="AW45:AW50"/>
    <mergeCell ref="AX45:AX50"/>
    <mergeCell ref="J33:J38"/>
  </mergeCells>
  <conditionalFormatting sqref="N9 N15">
    <cfRule type="cellIs" dxfId="270" priority="355" operator="equal">
      <formula>"Muy Alta"</formula>
    </cfRule>
    <cfRule type="cellIs" dxfId="269" priority="356" operator="equal">
      <formula>"Alta"</formula>
    </cfRule>
    <cfRule type="cellIs" dxfId="268" priority="357" operator="equal">
      <formula>"Media"</formula>
    </cfRule>
    <cfRule type="cellIs" dxfId="267" priority="358" operator="equal">
      <formula>"Baja"</formula>
    </cfRule>
    <cfRule type="cellIs" dxfId="266" priority="359" operator="equal">
      <formula>"Muy Baja"</formula>
    </cfRule>
  </conditionalFormatting>
  <conditionalFormatting sqref="R9 R15 R21 R27 R33 R39 R45 R51 R57 R63">
    <cfRule type="cellIs" dxfId="265" priority="350" operator="equal">
      <formula>"Catastrófico"</formula>
    </cfRule>
    <cfRule type="cellIs" dxfId="264" priority="351" operator="equal">
      <formula>"Mayor"</formula>
    </cfRule>
    <cfRule type="cellIs" dxfId="263" priority="352" operator="equal">
      <formula>"Moderado"</formula>
    </cfRule>
    <cfRule type="cellIs" dxfId="262" priority="353" operator="equal">
      <formula>"Menor"</formula>
    </cfRule>
    <cfRule type="cellIs" dxfId="261" priority="354" operator="equal">
      <formula>"Leve"</formula>
    </cfRule>
  </conditionalFormatting>
  <conditionalFormatting sqref="T9">
    <cfRule type="cellIs" dxfId="260" priority="346" operator="equal">
      <formula>"Extremo"</formula>
    </cfRule>
    <cfRule type="cellIs" dxfId="259" priority="347" operator="equal">
      <formula>"Alto"</formula>
    </cfRule>
    <cfRule type="cellIs" dxfId="258" priority="348" operator="equal">
      <formula>"Moderado"</formula>
    </cfRule>
    <cfRule type="cellIs" dxfId="257" priority="349" operator="equal">
      <formula>"Bajo"</formula>
    </cfRule>
  </conditionalFormatting>
  <conditionalFormatting sqref="AE9:AE14">
    <cfRule type="cellIs" dxfId="256" priority="341" operator="equal">
      <formula>"Muy Alta"</formula>
    </cfRule>
    <cfRule type="cellIs" dxfId="255" priority="342" operator="equal">
      <formula>"Alta"</formula>
    </cfRule>
    <cfRule type="cellIs" dxfId="254" priority="343" operator="equal">
      <formula>"Media"</formula>
    </cfRule>
    <cfRule type="cellIs" dxfId="253" priority="344" operator="equal">
      <formula>"Baja"</formula>
    </cfRule>
    <cfRule type="cellIs" dxfId="252" priority="345" operator="equal">
      <formula>"Muy Baja"</formula>
    </cfRule>
  </conditionalFormatting>
  <conditionalFormatting sqref="AG9:AG14">
    <cfRule type="cellIs" dxfId="251" priority="336" operator="equal">
      <formula>"Catastrófico"</formula>
    </cfRule>
    <cfRule type="cellIs" dxfId="250" priority="337" operator="equal">
      <formula>"Mayor"</formula>
    </cfRule>
    <cfRule type="cellIs" dxfId="249" priority="338" operator="equal">
      <formula>"Moderado"</formula>
    </cfRule>
    <cfRule type="cellIs" dxfId="248" priority="339" operator="equal">
      <formula>"Menor"</formula>
    </cfRule>
    <cfRule type="cellIs" dxfId="247" priority="340" operator="equal">
      <formula>"Leve"</formula>
    </cfRule>
  </conditionalFormatting>
  <conditionalFormatting sqref="AI9:AI14">
    <cfRule type="cellIs" dxfId="246" priority="332" operator="equal">
      <formula>"Extremo"</formula>
    </cfRule>
    <cfRule type="cellIs" dxfId="245" priority="333" operator="equal">
      <formula>"Alto"</formula>
    </cfRule>
    <cfRule type="cellIs" dxfId="244" priority="334" operator="equal">
      <formula>"Moderado"</formula>
    </cfRule>
    <cfRule type="cellIs" dxfId="243" priority="335" operator="equal">
      <formula>"Bajo"</formula>
    </cfRule>
  </conditionalFormatting>
  <conditionalFormatting sqref="N57">
    <cfRule type="cellIs" dxfId="242" priority="89" operator="equal">
      <formula>"Muy Alta"</formula>
    </cfRule>
    <cfRule type="cellIs" dxfId="241" priority="90" operator="equal">
      <formula>"Alta"</formula>
    </cfRule>
    <cfRule type="cellIs" dxfId="240" priority="91" operator="equal">
      <formula>"Media"</formula>
    </cfRule>
    <cfRule type="cellIs" dxfId="239" priority="92" operator="equal">
      <formula>"Baja"</formula>
    </cfRule>
    <cfRule type="cellIs" dxfId="238" priority="93" operator="equal">
      <formula>"Muy Baja"</formula>
    </cfRule>
  </conditionalFormatting>
  <conditionalFormatting sqref="T15">
    <cfRule type="cellIs" dxfId="237" priority="276" operator="equal">
      <formula>"Extremo"</formula>
    </cfRule>
    <cfRule type="cellIs" dxfId="236" priority="277" operator="equal">
      <formula>"Alto"</formula>
    </cfRule>
    <cfRule type="cellIs" dxfId="235" priority="278" operator="equal">
      <formula>"Moderado"</formula>
    </cfRule>
    <cfRule type="cellIs" dxfId="234" priority="279" operator="equal">
      <formula>"Bajo"</formula>
    </cfRule>
  </conditionalFormatting>
  <conditionalFormatting sqref="AE15:AE20">
    <cfRule type="cellIs" dxfId="233" priority="271" operator="equal">
      <formula>"Muy Alta"</formula>
    </cfRule>
    <cfRule type="cellIs" dxfId="232" priority="272" operator="equal">
      <formula>"Alta"</formula>
    </cfRule>
    <cfRule type="cellIs" dxfId="231" priority="273" operator="equal">
      <formula>"Media"</formula>
    </cfRule>
    <cfRule type="cellIs" dxfId="230" priority="274" operator="equal">
      <formula>"Baja"</formula>
    </cfRule>
    <cfRule type="cellIs" dxfId="229" priority="275" operator="equal">
      <formula>"Muy Baja"</formula>
    </cfRule>
  </conditionalFormatting>
  <conditionalFormatting sqref="AG15:AG20">
    <cfRule type="cellIs" dxfId="228" priority="266" operator="equal">
      <formula>"Catastrófico"</formula>
    </cfRule>
    <cfRule type="cellIs" dxfId="227" priority="267" operator="equal">
      <formula>"Mayor"</formula>
    </cfRule>
    <cfRule type="cellIs" dxfId="226" priority="268" operator="equal">
      <formula>"Moderado"</formula>
    </cfRule>
    <cfRule type="cellIs" dxfId="225" priority="269" operator="equal">
      <formula>"Menor"</formula>
    </cfRule>
    <cfRule type="cellIs" dxfId="224" priority="270" operator="equal">
      <formula>"Leve"</formula>
    </cfRule>
  </conditionalFormatting>
  <conditionalFormatting sqref="AI15:AI20">
    <cfRule type="cellIs" dxfId="223" priority="262" operator="equal">
      <formula>"Extremo"</formula>
    </cfRule>
    <cfRule type="cellIs" dxfId="222" priority="263" operator="equal">
      <formula>"Alto"</formula>
    </cfRule>
    <cfRule type="cellIs" dxfId="221" priority="264" operator="equal">
      <formula>"Moderado"</formula>
    </cfRule>
    <cfRule type="cellIs" dxfId="220" priority="265" operator="equal">
      <formula>"Bajo"</formula>
    </cfRule>
  </conditionalFormatting>
  <conditionalFormatting sqref="N21">
    <cfRule type="cellIs" dxfId="219" priority="257" operator="equal">
      <formula>"Muy Alta"</formula>
    </cfRule>
    <cfRule type="cellIs" dxfId="218" priority="258" operator="equal">
      <formula>"Alta"</formula>
    </cfRule>
    <cfRule type="cellIs" dxfId="217" priority="259" operator="equal">
      <formula>"Media"</formula>
    </cfRule>
    <cfRule type="cellIs" dxfId="216" priority="260" operator="equal">
      <formula>"Baja"</formula>
    </cfRule>
    <cfRule type="cellIs" dxfId="215" priority="261" operator="equal">
      <formula>"Muy Baja"</formula>
    </cfRule>
  </conditionalFormatting>
  <conditionalFormatting sqref="T21">
    <cfRule type="cellIs" dxfId="214" priority="248" operator="equal">
      <formula>"Extremo"</formula>
    </cfRule>
    <cfRule type="cellIs" dxfId="213" priority="249" operator="equal">
      <formula>"Alto"</formula>
    </cfRule>
    <cfRule type="cellIs" dxfId="212" priority="250" operator="equal">
      <formula>"Moderado"</formula>
    </cfRule>
    <cfRule type="cellIs" dxfId="211" priority="251" operator="equal">
      <formula>"Bajo"</formula>
    </cfRule>
  </conditionalFormatting>
  <conditionalFormatting sqref="AE21:AE26">
    <cfRule type="cellIs" dxfId="210" priority="243" operator="equal">
      <formula>"Muy Alta"</formula>
    </cfRule>
    <cfRule type="cellIs" dxfId="209" priority="244" operator="equal">
      <formula>"Alta"</formula>
    </cfRule>
    <cfRule type="cellIs" dxfId="208" priority="245" operator="equal">
      <formula>"Media"</formula>
    </cfRule>
    <cfRule type="cellIs" dxfId="207" priority="246" operator="equal">
      <formula>"Baja"</formula>
    </cfRule>
    <cfRule type="cellIs" dxfId="206" priority="247" operator="equal">
      <formula>"Muy Baja"</formula>
    </cfRule>
  </conditionalFormatting>
  <conditionalFormatting sqref="AG21:AG26">
    <cfRule type="cellIs" dxfId="205" priority="238" operator="equal">
      <formula>"Catastrófico"</formula>
    </cfRule>
    <cfRule type="cellIs" dxfId="204" priority="239" operator="equal">
      <formula>"Mayor"</formula>
    </cfRule>
    <cfRule type="cellIs" dxfId="203" priority="240" operator="equal">
      <formula>"Moderado"</formula>
    </cfRule>
    <cfRule type="cellIs" dxfId="202" priority="241" operator="equal">
      <formula>"Menor"</formula>
    </cfRule>
    <cfRule type="cellIs" dxfId="201" priority="242" operator="equal">
      <formula>"Leve"</formula>
    </cfRule>
  </conditionalFormatting>
  <conditionalFormatting sqref="AI21:AI26">
    <cfRule type="cellIs" dxfId="200" priority="234" operator="equal">
      <formula>"Extremo"</formula>
    </cfRule>
    <cfRule type="cellIs" dxfId="199" priority="235" operator="equal">
      <formula>"Alto"</formula>
    </cfRule>
    <cfRule type="cellIs" dxfId="198" priority="236" operator="equal">
      <formula>"Moderado"</formula>
    </cfRule>
    <cfRule type="cellIs" dxfId="197" priority="237" operator="equal">
      <formula>"Bajo"</formula>
    </cfRule>
  </conditionalFormatting>
  <conditionalFormatting sqref="N27">
    <cfRule type="cellIs" dxfId="196" priority="229" operator="equal">
      <formula>"Muy Alta"</formula>
    </cfRule>
    <cfRule type="cellIs" dxfId="195" priority="230" operator="equal">
      <formula>"Alta"</formula>
    </cfRule>
    <cfRule type="cellIs" dxfId="194" priority="231" operator="equal">
      <formula>"Media"</formula>
    </cfRule>
    <cfRule type="cellIs" dxfId="193" priority="232" operator="equal">
      <formula>"Baja"</formula>
    </cfRule>
    <cfRule type="cellIs" dxfId="192" priority="233" operator="equal">
      <formula>"Muy Baja"</formula>
    </cfRule>
  </conditionalFormatting>
  <conditionalFormatting sqref="T27">
    <cfRule type="cellIs" dxfId="191" priority="220" operator="equal">
      <formula>"Extremo"</formula>
    </cfRule>
    <cfRule type="cellIs" dxfId="190" priority="221" operator="equal">
      <formula>"Alto"</formula>
    </cfRule>
    <cfRule type="cellIs" dxfId="189" priority="222" operator="equal">
      <formula>"Moderado"</formula>
    </cfRule>
    <cfRule type="cellIs" dxfId="188" priority="223" operator="equal">
      <formula>"Bajo"</formula>
    </cfRule>
  </conditionalFormatting>
  <conditionalFormatting sqref="AE27:AE32">
    <cfRule type="cellIs" dxfId="187" priority="215" operator="equal">
      <formula>"Muy Alta"</formula>
    </cfRule>
    <cfRule type="cellIs" dxfId="186" priority="216" operator="equal">
      <formula>"Alta"</formula>
    </cfRule>
    <cfRule type="cellIs" dxfId="185" priority="217" operator="equal">
      <formula>"Media"</formula>
    </cfRule>
    <cfRule type="cellIs" dxfId="184" priority="218" operator="equal">
      <formula>"Baja"</formula>
    </cfRule>
    <cfRule type="cellIs" dxfId="183" priority="219" operator="equal">
      <formula>"Muy Baja"</formula>
    </cfRule>
  </conditionalFormatting>
  <conditionalFormatting sqref="AG27:AG32">
    <cfRule type="cellIs" dxfId="182" priority="210" operator="equal">
      <formula>"Catastrófico"</formula>
    </cfRule>
    <cfRule type="cellIs" dxfId="181" priority="211" operator="equal">
      <formula>"Mayor"</formula>
    </cfRule>
    <cfRule type="cellIs" dxfId="180" priority="212" operator="equal">
      <formula>"Moderado"</formula>
    </cfRule>
    <cfRule type="cellIs" dxfId="179" priority="213" operator="equal">
      <formula>"Menor"</formula>
    </cfRule>
    <cfRule type="cellIs" dxfId="178" priority="214" operator="equal">
      <formula>"Leve"</formula>
    </cfRule>
  </conditionalFormatting>
  <conditionalFormatting sqref="AI27:AI32">
    <cfRule type="cellIs" dxfId="177" priority="206" operator="equal">
      <formula>"Extremo"</formula>
    </cfRule>
    <cfRule type="cellIs" dxfId="176" priority="207" operator="equal">
      <formula>"Alto"</formula>
    </cfRule>
    <cfRule type="cellIs" dxfId="175" priority="208" operator="equal">
      <formula>"Moderado"</formula>
    </cfRule>
    <cfRule type="cellIs" dxfId="174" priority="209" operator="equal">
      <formula>"Bajo"</formula>
    </cfRule>
  </conditionalFormatting>
  <conditionalFormatting sqref="N33">
    <cfRule type="cellIs" dxfId="173" priority="201" operator="equal">
      <formula>"Muy Alta"</formula>
    </cfRule>
    <cfRule type="cellIs" dxfId="172" priority="202" operator="equal">
      <formula>"Alta"</formula>
    </cfRule>
    <cfRule type="cellIs" dxfId="171" priority="203" operator="equal">
      <formula>"Media"</formula>
    </cfRule>
    <cfRule type="cellIs" dxfId="170" priority="204" operator="equal">
      <formula>"Baja"</formula>
    </cfRule>
    <cfRule type="cellIs" dxfId="169" priority="205" operator="equal">
      <formula>"Muy Baja"</formula>
    </cfRule>
  </conditionalFormatting>
  <conditionalFormatting sqref="T33">
    <cfRule type="cellIs" dxfId="168" priority="192" operator="equal">
      <formula>"Extremo"</formula>
    </cfRule>
    <cfRule type="cellIs" dxfId="167" priority="193" operator="equal">
      <formula>"Alto"</formula>
    </cfRule>
    <cfRule type="cellIs" dxfId="166" priority="194" operator="equal">
      <formula>"Moderado"</formula>
    </cfRule>
    <cfRule type="cellIs" dxfId="165" priority="195" operator="equal">
      <formula>"Bajo"</formula>
    </cfRule>
  </conditionalFormatting>
  <conditionalFormatting sqref="AE33:AE38">
    <cfRule type="cellIs" dxfId="164" priority="187" operator="equal">
      <formula>"Muy Alta"</formula>
    </cfRule>
    <cfRule type="cellIs" dxfId="163" priority="188" operator="equal">
      <formula>"Alta"</formula>
    </cfRule>
    <cfRule type="cellIs" dxfId="162" priority="189" operator="equal">
      <formula>"Media"</formula>
    </cfRule>
    <cfRule type="cellIs" dxfId="161" priority="190" operator="equal">
      <formula>"Baja"</formula>
    </cfRule>
    <cfRule type="cellIs" dxfId="160" priority="191" operator="equal">
      <formula>"Muy Baja"</formula>
    </cfRule>
  </conditionalFormatting>
  <conditionalFormatting sqref="AG33:AG38">
    <cfRule type="cellIs" dxfId="159" priority="182" operator="equal">
      <formula>"Catastrófico"</formula>
    </cfRule>
    <cfRule type="cellIs" dxfId="158" priority="183" operator="equal">
      <formula>"Mayor"</formula>
    </cfRule>
    <cfRule type="cellIs" dxfId="157" priority="184" operator="equal">
      <formula>"Moderado"</formula>
    </cfRule>
    <cfRule type="cellIs" dxfId="156" priority="185" operator="equal">
      <formula>"Menor"</formula>
    </cfRule>
    <cfRule type="cellIs" dxfId="155" priority="186" operator="equal">
      <formula>"Leve"</formula>
    </cfRule>
  </conditionalFormatting>
  <conditionalFormatting sqref="AI33:AI38">
    <cfRule type="cellIs" dxfId="154" priority="178" operator="equal">
      <formula>"Extremo"</formula>
    </cfRule>
    <cfRule type="cellIs" dxfId="153" priority="179" operator="equal">
      <formula>"Alto"</formula>
    </cfRule>
    <cfRule type="cellIs" dxfId="152" priority="180" operator="equal">
      <formula>"Moderado"</formula>
    </cfRule>
    <cfRule type="cellIs" dxfId="151" priority="181" operator="equal">
      <formula>"Bajo"</formula>
    </cfRule>
  </conditionalFormatting>
  <conditionalFormatting sqref="N39">
    <cfRule type="cellIs" dxfId="150" priority="173" operator="equal">
      <formula>"Muy Alta"</formula>
    </cfRule>
    <cfRule type="cellIs" dxfId="149" priority="174" operator="equal">
      <formula>"Alta"</formula>
    </cfRule>
    <cfRule type="cellIs" dxfId="148" priority="175" operator="equal">
      <formula>"Media"</formula>
    </cfRule>
    <cfRule type="cellIs" dxfId="147" priority="176" operator="equal">
      <formula>"Baja"</formula>
    </cfRule>
    <cfRule type="cellIs" dxfId="146" priority="177" operator="equal">
      <formula>"Muy Baja"</formula>
    </cfRule>
  </conditionalFormatting>
  <conditionalFormatting sqref="T39">
    <cfRule type="cellIs" dxfId="145" priority="164" operator="equal">
      <formula>"Extremo"</formula>
    </cfRule>
    <cfRule type="cellIs" dxfId="144" priority="165" operator="equal">
      <formula>"Alto"</formula>
    </cfRule>
    <cfRule type="cellIs" dxfId="143" priority="166" operator="equal">
      <formula>"Moderado"</formula>
    </cfRule>
    <cfRule type="cellIs" dxfId="142" priority="167" operator="equal">
      <formula>"Bajo"</formula>
    </cfRule>
  </conditionalFormatting>
  <conditionalFormatting sqref="AE39:AE44">
    <cfRule type="cellIs" dxfId="141" priority="159" operator="equal">
      <formula>"Muy Alta"</formula>
    </cfRule>
    <cfRule type="cellIs" dxfId="140" priority="160" operator="equal">
      <formula>"Alta"</formula>
    </cfRule>
    <cfRule type="cellIs" dxfId="139" priority="161" operator="equal">
      <formula>"Media"</formula>
    </cfRule>
    <cfRule type="cellIs" dxfId="138" priority="162" operator="equal">
      <formula>"Baja"</formula>
    </cfRule>
    <cfRule type="cellIs" dxfId="137" priority="163" operator="equal">
      <formula>"Muy Baja"</formula>
    </cfRule>
  </conditionalFormatting>
  <conditionalFormatting sqref="AG39:AG44">
    <cfRule type="cellIs" dxfId="136" priority="154" operator="equal">
      <formula>"Catastrófico"</formula>
    </cfRule>
    <cfRule type="cellIs" dxfId="135" priority="155" operator="equal">
      <formula>"Mayor"</formula>
    </cfRule>
    <cfRule type="cellIs" dxfId="134" priority="156" operator="equal">
      <formula>"Moderado"</formula>
    </cfRule>
    <cfRule type="cellIs" dxfId="133" priority="157" operator="equal">
      <formula>"Menor"</formula>
    </cfRule>
    <cfRule type="cellIs" dxfId="132" priority="158" operator="equal">
      <formula>"Leve"</formula>
    </cfRule>
  </conditionalFormatting>
  <conditionalFormatting sqref="AI39:AI44">
    <cfRule type="cellIs" dxfId="131" priority="150" operator="equal">
      <formula>"Extremo"</formula>
    </cfRule>
    <cfRule type="cellIs" dxfId="130" priority="151" operator="equal">
      <formula>"Alto"</formula>
    </cfRule>
    <cfRule type="cellIs" dxfId="129" priority="152" operator="equal">
      <formula>"Moderado"</formula>
    </cfRule>
    <cfRule type="cellIs" dxfId="128" priority="153" operator="equal">
      <formula>"Bajo"</formula>
    </cfRule>
  </conditionalFormatting>
  <conditionalFormatting sqref="N45">
    <cfRule type="cellIs" dxfId="127" priority="145" operator="equal">
      <formula>"Muy Alta"</formula>
    </cfRule>
    <cfRule type="cellIs" dxfId="126" priority="146" operator="equal">
      <formula>"Alta"</formula>
    </cfRule>
    <cfRule type="cellIs" dxfId="125" priority="147" operator="equal">
      <formula>"Media"</formula>
    </cfRule>
    <cfRule type="cellIs" dxfId="124" priority="148" operator="equal">
      <formula>"Baja"</formula>
    </cfRule>
    <cfRule type="cellIs" dxfId="123" priority="149" operator="equal">
      <formula>"Muy Baja"</formula>
    </cfRule>
  </conditionalFormatting>
  <conditionalFormatting sqref="T45">
    <cfRule type="cellIs" dxfId="122" priority="136" operator="equal">
      <formula>"Extremo"</formula>
    </cfRule>
    <cfRule type="cellIs" dxfId="121" priority="137" operator="equal">
      <formula>"Alto"</formula>
    </cfRule>
    <cfRule type="cellIs" dxfId="120" priority="138" operator="equal">
      <formula>"Moderado"</formula>
    </cfRule>
    <cfRule type="cellIs" dxfId="119" priority="139" operator="equal">
      <formula>"Bajo"</formula>
    </cfRule>
  </conditionalFormatting>
  <conditionalFormatting sqref="AE45:AE50">
    <cfRule type="cellIs" dxfId="118" priority="131" operator="equal">
      <formula>"Muy Alta"</formula>
    </cfRule>
    <cfRule type="cellIs" dxfId="117" priority="132" operator="equal">
      <formula>"Alta"</formula>
    </cfRule>
    <cfRule type="cellIs" dxfId="116" priority="133" operator="equal">
      <formula>"Media"</formula>
    </cfRule>
    <cfRule type="cellIs" dxfId="115" priority="134" operator="equal">
      <formula>"Baja"</formula>
    </cfRule>
    <cfRule type="cellIs" dxfId="114" priority="135" operator="equal">
      <formula>"Muy Baja"</formula>
    </cfRule>
  </conditionalFormatting>
  <conditionalFormatting sqref="AG45:AG50">
    <cfRule type="cellIs" dxfId="113" priority="126" operator="equal">
      <formula>"Catastrófico"</formula>
    </cfRule>
    <cfRule type="cellIs" dxfId="112" priority="127" operator="equal">
      <formula>"Mayor"</formula>
    </cfRule>
    <cfRule type="cellIs" dxfId="111" priority="128" operator="equal">
      <formula>"Moderado"</formula>
    </cfRule>
    <cfRule type="cellIs" dxfId="110" priority="129" operator="equal">
      <formula>"Menor"</formula>
    </cfRule>
    <cfRule type="cellIs" dxfId="109" priority="130" operator="equal">
      <formula>"Leve"</formula>
    </cfRule>
  </conditionalFormatting>
  <conditionalFormatting sqref="AI45:AI50">
    <cfRule type="cellIs" dxfId="108" priority="122" operator="equal">
      <formula>"Extremo"</formula>
    </cfRule>
    <cfRule type="cellIs" dxfId="107" priority="123" operator="equal">
      <formula>"Alto"</formula>
    </cfRule>
    <cfRule type="cellIs" dxfId="106" priority="124" operator="equal">
      <formula>"Moderado"</formula>
    </cfRule>
    <cfRule type="cellIs" dxfId="105" priority="125" operator="equal">
      <formula>"Bajo"</formula>
    </cfRule>
  </conditionalFormatting>
  <conditionalFormatting sqref="N51">
    <cfRule type="cellIs" dxfId="104" priority="117" operator="equal">
      <formula>"Muy Alta"</formula>
    </cfRule>
    <cfRule type="cellIs" dxfId="103" priority="118" operator="equal">
      <formula>"Alta"</formula>
    </cfRule>
    <cfRule type="cellIs" dxfId="102" priority="119" operator="equal">
      <formula>"Media"</formula>
    </cfRule>
    <cfRule type="cellIs" dxfId="101" priority="120" operator="equal">
      <formula>"Baja"</formula>
    </cfRule>
    <cfRule type="cellIs" dxfId="100" priority="121" operator="equal">
      <formula>"Muy Baja"</formula>
    </cfRule>
  </conditionalFormatting>
  <conditionalFormatting sqref="T51">
    <cfRule type="cellIs" dxfId="99" priority="108" operator="equal">
      <formula>"Extremo"</formula>
    </cfRule>
    <cfRule type="cellIs" dxfId="98" priority="109" operator="equal">
      <formula>"Alto"</formula>
    </cfRule>
    <cfRule type="cellIs" dxfId="97" priority="110" operator="equal">
      <formula>"Moderado"</formula>
    </cfRule>
    <cfRule type="cellIs" dxfId="96" priority="111" operator="equal">
      <formula>"Bajo"</formula>
    </cfRule>
  </conditionalFormatting>
  <conditionalFormatting sqref="AE51:AE56">
    <cfRule type="cellIs" dxfId="95" priority="103" operator="equal">
      <formula>"Muy Alta"</formula>
    </cfRule>
    <cfRule type="cellIs" dxfId="94" priority="104" operator="equal">
      <formula>"Alta"</formula>
    </cfRule>
    <cfRule type="cellIs" dxfId="93" priority="105" operator="equal">
      <formula>"Media"</formula>
    </cfRule>
    <cfRule type="cellIs" dxfId="92" priority="106" operator="equal">
      <formula>"Baja"</formula>
    </cfRule>
    <cfRule type="cellIs" dxfId="91" priority="107" operator="equal">
      <formula>"Muy Baja"</formula>
    </cfRule>
  </conditionalFormatting>
  <conditionalFormatting sqref="AG51:AG56">
    <cfRule type="cellIs" dxfId="90" priority="98" operator="equal">
      <formula>"Catastrófico"</formula>
    </cfRule>
    <cfRule type="cellIs" dxfId="89" priority="99" operator="equal">
      <formula>"Mayor"</formula>
    </cfRule>
    <cfRule type="cellIs" dxfId="88" priority="100" operator="equal">
      <formula>"Moderado"</formula>
    </cfRule>
    <cfRule type="cellIs" dxfId="87" priority="101" operator="equal">
      <formula>"Menor"</formula>
    </cfRule>
    <cfRule type="cellIs" dxfId="86" priority="102" operator="equal">
      <formula>"Leve"</formula>
    </cfRule>
  </conditionalFormatting>
  <conditionalFormatting sqref="AI51:AI56">
    <cfRule type="cellIs" dxfId="85" priority="94" operator="equal">
      <formula>"Extremo"</formula>
    </cfRule>
    <cfRule type="cellIs" dxfId="84" priority="95" operator="equal">
      <formula>"Alto"</formula>
    </cfRule>
    <cfRule type="cellIs" dxfId="83" priority="96" operator="equal">
      <formula>"Moderado"</formula>
    </cfRule>
    <cfRule type="cellIs" dxfId="82" priority="97" operator="equal">
      <formula>"Bajo"</formula>
    </cfRule>
  </conditionalFormatting>
  <conditionalFormatting sqref="T57">
    <cfRule type="cellIs" dxfId="81" priority="80" operator="equal">
      <formula>"Extremo"</formula>
    </cfRule>
    <cfRule type="cellIs" dxfId="80" priority="81" operator="equal">
      <formula>"Alto"</formula>
    </cfRule>
    <cfRule type="cellIs" dxfId="79" priority="82" operator="equal">
      <formula>"Moderado"</formula>
    </cfRule>
    <cfRule type="cellIs" dxfId="78" priority="83" operator="equal">
      <formula>"Bajo"</formula>
    </cfRule>
  </conditionalFormatting>
  <conditionalFormatting sqref="AE57:AE62">
    <cfRule type="cellIs" dxfId="77" priority="75" operator="equal">
      <formula>"Muy Alta"</formula>
    </cfRule>
    <cfRule type="cellIs" dxfId="76" priority="76" operator="equal">
      <formula>"Alta"</formula>
    </cfRule>
    <cfRule type="cellIs" dxfId="75" priority="77" operator="equal">
      <formula>"Media"</formula>
    </cfRule>
    <cfRule type="cellIs" dxfId="74" priority="78" operator="equal">
      <formula>"Baja"</formula>
    </cfRule>
    <cfRule type="cellIs" dxfId="73" priority="79" operator="equal">
      <formula>"Muy Baja"</formula>
    </cfRule>
  </conditionalFormatting>
  <conditionalFormatting sqref="AG57:AG62">
    <cfRule type="cellIs" dxfId="72" priority="70" operator="equal">
      <formula>"Catastrófico"</formula>
    </cfRule>
    <cfRule type="cellIs" dxfId="71" priority="71" operator="equal">
      <formula>"Mayor"</formula>
    </cfRule>
    <cfRule type="cellIs" dxfId="70" priority="72" operator="equal">
      <formula>"Moderado"</formula>
    </cfRule>
    <cfRule type="cellIs" dxfId="69" priority="73" operator="equal">
      <formula>"Menor"</formula>
    </cfRule>
    <cfRule type="cellIs" dxfId="68" priority="74" operator="equal">
      <formula>"Leve"</formula>
    </cfRule>
  </conditionalFormatting>
  <conditionalFormatting sqref="AI57:AI62">
    <cfRule type="cellIs" dxfId="67" priority="66" operator="equal">
      <formula>"Extremo"</formula>
    </cfRule>
    <cfRule type="cellIs" dxfId="66" priority="67" operator="equal">
      <formula>"Alto"</formula>
    </cfRule>
    <cfRule type="cellIs" dxfId="65" priority="68" operator="equal">
      <formula>"Moderado"</formula>
    </cfRule>
    <cfRule type="cellIs" dxfId="64" priority="69" operator="equal">
      <formula>"Bajo"</formula>
    </cfRule>
  </conditionalFormatting>
  <conditionalFormatting sqref="N63">
    <cfRule type="cellIs" dxfId="63" priority="61" operator="equal">
      <formula>"Muy Alta"</formula>
    </cfRule>
    <cfRule type="cellIs" dxfId="62" priority="62" operator="equal">
      <formula>"Alta"</formula>
    </cfRule>
    <cfRule type="cellIs" dxfId="61" priority="63" operator="equal">
      <formula>"Media"</formula>
    </cfRule>
    <cfRule type="cellIs" dxfId="60" priority="64" operator="equal">
      <formula>"Baja"</formula>
    </cfRule>
    <cfRule type="cellIs" dxfId="59" priority="65" operator="equal">
      <formula>"Muy Baja"</formula>
    </cfRule>
  </conditionalFormatting>
  <conditionalFormatting sqref="T63">
    <cfRule type="cellIs" dxfId="58" priority="52" operator="equal">
      <formula>"Extremo"</formula>
    </cfRule>
    <cfRule type="cellIs" dxfId="57" priority="53" operator="equal">
      <formula>"Alto"</formula>
    </cfRule>
    <cfRule type="cellIs" dxfId="56" priority="54" operator="equal">
      <formula>"Moderado"</formula>
    </cfRule>
    <cfRule type="cellIs" dxfId="55" priority="55" operator="equal">
      <formula>"Bajo"</formula>
    </cfRule>
  </conditionalFormatting>
  <conditionalFormatting sqref="AE63:AE68">
    <cfRule type="cellIs" dxfId="54" priority="47" operator="equal">
      <formula>"Muy Alta"</formula>
    </cfRule>
    <cfRule type="cellIs" dxfId="53" priority="48" operator="equal">
      <formula>"Alta"</formula>
    </cfRule>
    <cfRule type="cellIs" dxfId="52" priority="49" operator="equal">
      <formula>"Media"</formula>
    </cfRule>
    <cfRule type="cellIs" dxfId="51" priority="50" operator="equal">
      <formula>"Baja"</formula>
    </cfRule>
    <cfRule type="cellIs" dxfId="50" priority="51" operator="equal">
      <formula>"Muy Baja"</formula>
    </cfRule>
  </conditionalFormatting>
  <conditionalFormatting sqref="AG63:AG68">
    <cfRule type="cellIs" dxfId="49" priority="42" operator="equal">
      <formula>"Catastrófico"</formula>
    </cfRule>
    <cfRule type="cellIs" dxfId="48" priority="43" operator="equal">
      <formula>"Mayor"</formula>
    </cfRule>
    <cfRule type="cellIs" dxfId="47" priority="44" operator="equal">
      <formula>"Moderado"</formula>
    </cfRule>
    <cfRule type="cellIs" dxfId="46" priority="45" operator="equal">
      <formula>"Menor"</formula>
    </cfRule>
    <cfRule type="cellIs" dxfId="45" priority="46" operator="equal">
      <formula>"Leve"</formula>
    </cfRule>
  </conditionalFormatting>
  <conditionalFormatting sqref="AI63:AI68">
    <cfRule type="cellIs" dxfId="44" priority="38" operator="equal">
      <formula>"Extremo"</formula>
    </cfRule>
    <cfRule type="cellIs" dxfId="43" priority="39" operator="equal">
      <formula>"Alto"</formula>
    </cfRule>
    <cfRule type="cellIs" dxfId="42" priority="40" operator="equal">
      <formula>"Moderado"</formula>
    </cfRule>
    <cfRule type="cellIs" dxfId="41" priority="41" operator="equal">
      <formula>"Bajo"</formula>
    </cfRule>
  </conditionalFormatting>
  <conditionalFormatting sqref="Q9:Q68">
    <cfRule type="containsText" dxfId="40" priority="37" operator="containsText" text="❌">
      <formula>NOT(ISERROR(SEARCH("❌",Q9)))</formula>
    </cfRule>
  </conditionalFormatting>
  <pageMargins left="0.7" right="0.7" top="0.75" bottom="0.75" header="0.3" footer="0.3"/>
  <pageSetup scale="11" orientation="portrait" r:id="rId1"/>
  <ignoredErrors>
    <ignoredError sqref="AH11"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19" operator="equal" id="{4D37A521-291F-468A-886F-8EE28D4B8E45}">
            <xm:f>Listas!$B$22</xm:f>
            <x14:dxf>
              <fill>
                <patternFill>
                  <bgColor rgb="FF9633FF"/>
                </patternFill>
              </fill>
            </x14:dxf>
          </x14:cfRule>
          <x14:cfRule type="cellIs" priority="20" operator="equal" id="{0F880A29-5E9E-40A5-B409-286D52B68578}">
            <xm:f>Listas!$B$21</xm:f>
            <x14:dxf>
              <fill>
                <patternFill>
                  <bgColor rgb="FFFF6600"/>
                </patternFill>
              </fill>
            </x14:dxf>
          </x14:cfRule>
          <x14:cfRule type="cellIs" priority="21" operator="equal" id="{8497BC67-8F8F-409A-B87A-3CD11F8470FF}">
            <xm:f>Listas!$B$20</xm:f>
            <x14:dxf>
              <fill>
                <patternFill>
                  <bgColor rgb="FFFF6600"/>
                </patternFill>
              </fill>
            </x14:dxf>
          </x14:cfRule>
          <x14:cfRule type="cellIs" priority="22" operator="equal" id="{50AC29D6-BC08-411D-B836-2B50D86BE563}">
            <xm:f>Listas!$B$19</xm:f>
            <x14:dxf>
              <fill>
                <patternFill>
                  <bgColor rgb="FFFF6600"/>
                </patternFill>
              </fill>
            </x14:dxf>
          </x14:cfRule>
          <x14:cfRule type="cellIs" priority="23" operator="equal" id="{DD0F656F-B9EB-4567-810B-4F33616E4DFA}">
            <xm:f>Listas!$B$18</xm:f>
            <x14:dxf>
              <fill>
                <patternFill>
                  <bgColor rgb="FFFF6600"/>
                </patternFill>
              </fill>
            </x14:dxf>
          </x14:cfRule>
          <x14:cfRule type="cellIs" priority="24" operator="equal" id="{66A633A4-391D-4DA6-A0EE-A15239954988}">
            <xm:f>Listas!$B$17</xm:f>
            <x14:dxf>
              <fill>
                <patternFill>
                  <bgColor rgb="FFFF6600"/>
                </patternFill>
              </fill>
            </x14:dxf>
          </x14:cfRule>
          <x14:cfRule type="cellIs" priority="25" operator="equal" id="{20556F34-6FEA-45F5-B921-716593CACDB9}">
            <xm:f>Listas!$B$16</xm:f>
            <x14:dxf>
              <fill>
                <patternFill>
                  <bgColor rgb="FFFF6600"/>
                </patternFill>
              </fill>
            </x14:dxf>
          </x14:cfRule>
          <x14:cfRule type="cellIs" priority="26" operator="equal" id="{6466E9FC-9D84-4A4B-A2E1-07F27BE70D15}">
            <xm:f>Listas!$B$15</xm:f>
            <x14:dxf>
              <fill>
                <patternFill>
                  <bgColor rgb="FFFF6600"/>
                </patternFill>
              </fill>
            </x14:dxf>
          </x14:cfRule>
          <x14:cfRule type="cellIs" priority="27" operator="equal" id="{E77D18D8-6C20-40A4-968F-7160401DFD87}">
            <xm:f>Listas!$B$14</xm:f>
            <x14:dxf>
              <fill>
                <patternFill>
                  <bgColor rgb="FFFF6600"/>
                </patternFill>
              </fill>
            </x14:dxf>
          </x14:cfRule>
          <x14:cfRule type="cellIs" priority="28" operator="equal" id="{F1C1EAE9-AB17-40C1-8BD6-F677C81913A2}">
            <xm:f>Listas!$B$13</xm:f>
            <x14:dxf>
              <fill>
                <patternFill>
                  <bgColor rgb="FFFF6600"/>
                </patternFill>
              </fill>
            </x14:dxf>
          </x14:cfRule>
          <x14:cfRule type="cellIs" priority="29" operator="equal" id="{4FD2EB0F-A43A-47FE-8D2C-6C211F43ACC2}">
            <xm:f>Listas!$B$12</xm:f>
            <x14:dxf>
              <fill>
                <patternFill>
                  <bgColor rgb="FF2D9E2C"/>
                </patternFill>
              </fill>
            </x14:dxf>
          </x14:cfRule>
          <x14:cfRule type="cellIs" priority="30" operator="equal" id="{A0AB2880-B8EA-4733-86F2-2B0A6F4FA0C6}">
            <xm:f>Listas!$B$11</xm:f>
            <x14:dxf>
              <fill>
                <patternFill>
                  <bgColor rgb="FF2D9E2C"/>
                </patternFill>
              </fill>
            </x14:dxf>
          </x14:cfRule>
          <x14:cfRule type="cellIs" priority="31" operator="equal" id="{C00D7C6D-3B43-4C71-B640-B91A55C16B03}">
            <xm:f>Listas!$B$10</xm:f>
            <x14:dxf>
              <fill>
                <patternFill>
                  <bgColor rgb="FF2D9E2C"/>
                </patternFill>
              </fill>
            </x14:dxf>
          </x14:cfRule>
          <x14:cfRule type="cellIs" priority="32" operator="equal" id="{0622DA58-1D8D-46F2-B8DD-3B1678F73D65}">
            <xm:f>Listas!$B$9</xm:f>
            <x14:dxf>
              <fill>
                <patternFill>
                  <bgColor rgb="FF007AFF"/>
                </patternFill>
              </fill>
            </x14:dxf>
          </x14:cfRule>
          <x14:cfRule type="cellIs" priority="33" operator="equal" id="{92E6F0BF-7B3B-4880-96BA-5681B0C89D4F}">
            <xm:f>Listas!$B$8</xm:f>
            <x14:dxf>
              <fill>
                <patternFill>
                  <bgColor rgb="FF007AFF"/>
                </patternFill>
              </fill>
            </x14:dxf>
          </x14:cfRule>
          <x14:cfRule type="cellIs" priority="34" operator="equal" id="{F29B5B20-664F-4D4D-97AC-F0529872917C}">
            <xm:f>Listas!$B$7</xm:f>
            <x14:dxf>
              <fill>
                <patternFill>
                  <bgColor rgb="FF007AFF"/>
                </patternFill>
              </fill>
            </x14:dxf>
          </x14:cfRule>
          <x14:cfRule type="cellIs" priority="35" operator="equal" id="{D778B7ED-C248-482F-8EDE-593A2D962BD7}">
            <xm:f>Listas!$B$6</xm:f>
            <x14:dxf>
              <fill>
                <patternFill>
                  <bgColor rgb="FF007AFF"/>
                </patternFill>
              </fill>
            </x14:dxf>
          </x14:cfRule>
          <x14:cfRule type="cellIs" priority="36" operator="equal" id="{604C1232-F3B7-4F53-A6DE-2D4ABD822819}">
            <xm:f>Listas!$B$5</xm:f>
            <x14:dxf>
              <fill>
                <patternFill>
                  <bgColor rgb="FF007AFF"/>
                </patternFill>
              </fill>
            </x14:dxf>
          </x14:cfRule>
          <xm:sqref>B9:C9 B15:C15 B21:C21 B27:C27 B33:C33 B39:C39 B45:C45 B51:C51 B57:C57 B63:C63</xm:sqref>
        </x14:conditionalFormatting>
        <x14:conditionalFormatting xmlns:xm="http://schemas.microsoft.com/office/excel/2006/main">
          <x14:cfRule type="cellIs" priority="1" operator="equal" id="{950EE7BE-F014-4159-B505-DE1A18B4B714}">
            <xm:f>Listas!$B$22</xm:f>
            <x14:dxf>
              <fill>
                <patternFill>
                  <bgColor rgb="FF9633FF"/>
                </patternFill>
              </fill>
            </x14:dxf>
          </x14:cfRule>
          <x14:cfRule type="cellIs" priority="2" operator="equal" id="{BE7BDA89-0C28-4135-BABF-10097B969F27}">
            <xm:f>Listas!$B$21</xm:f>
            <x14:dxf>
              <fill>
                <patternFill>
                  <bgColor rgb="FFFF6600"/>
                </patternFill>
              </fill>
            </x14:dxf>
          </x14:cfRule>
          <x14:cfRule type="cellIs" priority="3" operator="equal" id="{E3511BD5-89FB-4A46-A7F2-5D243B84A075}">
            <xm:f>Listas!$B$20</xm:f>
            <x14:dxf>
              <fill>
                <patternFill>
                  <bgColor rgb="FFFF6600"/>
                </patternFill>
              </fill>
            </x14:dxf>
          </x14:cfRule>
          <x14:cfRule type="cellIs" priority="4" operator="equal" id="{357F55EA-C3B9-43E4-9709-4038FBCDA658}">
            <xm:f>Listas!$B$19</xm:f>
            <x14:dxf>
              <fill>
                <patternFill>
                  <bgColor rgb="FFFF6600"/>
                </patternFill>
              </fill>
            </x14:dxf>
          </x14:cfRule>
          <x14:cfRule type="cellIs" priority="5" operator="equal" id="{A51B9367-273D-489D-A9EA-0AB1CB5C5A56}">
            <xm:f>Listas!$B$18</xm:f>
            <x14:dxf>
              <fill>
                <patternFill>
                  <bgColor rgb="FFFF6600"/>
                </patternFill>
              </fill>
            </x14:dxf>
          </x14:cfRule>
          <x14:cfRule type="cellIs" priority="6" operator="equal" id="{17399450-BF3A-4952-8D94-6C7D2B3CBDB9}">
            <xm:f>Listas!$B$17</xm:f>
            <x14:dxf>
              <fill>
                <patternFill>
                  <bgColor rgb="FFFF6600"/>
                </patternFill>
              </fill>
            </x14:dxf>
          </x14:cfRule>
          <x14:cfRule type="cellIs" priority="7" operator="equal" id="{1B97B726-F05F-4F82-B0A5-67E108BC8344}">
            <xm:f>Listas!$B$16</xm:f>
            <x14:dxf>
              <fill>
                <patternFill>
                  <bgColor rgb="FFFF6600"/>
                </patternFill>
              </fill>
            </x14:dxf>
          </x14:cfRule>
          <x14:cfRule type="cellIs" priority="8" operator="equal" id="{E59E4157-CF04-41D9-A098-B41D64F1F817}">
            <xm:f>Listas!$B$15</xm:f>
            <x14:dxf>
              <fill>
                <patternFill>
                  <bgColor rgb="FFFF6600"/>
                </patternFill>
              </fill>
            </x14:dxf>
          </x14:cfRule>
          <x14:cfRule type="cellIs" priority="9" operator="equal" id="{737F30F1-21B9-4E2C-AC1D-9BDB38D611EC}">
            <xm:f>Listas!$B$14</xm:f>
            <x14:dxf>
              <fill>
                <patternFill>
                  <bgColor rgb="FFFF6600"/>
                </patternFill>
              </fill>
            </x14:dxf>
          </x14:cfRule>
          <x14:cfRule type="cellIs" priority="10" operator="equal" id="{126AF068-7F10-44B2-AD9C-1FAD98121AB7}">
            <xm:f>Listas!$B$13</xm:f>
            <x14:dxf>
              <fill>
                <patternFill>
                  <bgColor rgb="FFFF6600"/>
                </patternFill>
              </fill>
            </x14:dxf>
          </x14:cfRule>
          <x14:cfRule type="cellIs" priority="11" operator="equal" id="{8ACA7F7B-005C-48BF-B411-4445EC60D07F}">
            <xm:f>Listas!$B$12</xm:f>
            <x14:dxf>
              <fill>
                <patternFill>
                  <bgColor rgb="FF2D9E2C"/>
                </patternFill>
              </fill>
            </x14:dxf>
          </x14:cfRule>
          <x14:cfRule type="cellIs" priority="12" operator="equal" id="{3C460C9D-8DC1-46A4-B6FC-EE4B530F595E}">
            <xm:f>Listas!$B$11</xm:f>
            <x14:dxf>
              <fill>
                <patternFill>
                  <bgColor rgb="FF2D9E2C"/>
                </patternFill>
              </fill>
            </x14:dxf>
          </x14:cfRule>
          <x14:cfRule type="cellIs" priority="13" operator="equal" id="{9E6FCBBC-0027-499C-83F6-DEAF4C7A8FCF}">
            <xm:f>Listas!$B$10</xm:f>
            <x14:dxf>
              <fill>
                <patternFill>
                  <bgColor rgb="FF2D9E2C"/>
                </patternFill>
              </fill>
            </x14:dxf>
          </x14:cfRule>
          <x14:cfRule type="cellIs" priority="14" operator="equal" id="{E826FAEC-3D10-4086-8346-83BDD472C39A}">
            <xm:f>Listas!$B$9</xm:f>
            <x14:dxf>
              <fill>
                <patternFill>
                  <bgColor rgb="FF007AFF"/>
                </patternFill>
              </fill>
            </x14:dxf>
          </x14:cfRule>
          <x14:cfRule type="cellIs" priority="15" operator="equal" id="{9F1BAD81-B9B1-4692-B575-C4C58E5F9499}">
            <xm:f>Listas!$B$8</xm:f>
            <x14:dxf>
              <fill>
                <patternFill>
                  <bgColor rgb="FF007AFF"/>
                </patternFill>
              </fill>
            </x14:dxf>
          </x14:cfRule>
          <x14:cfRule type="cellIs" priority="16" operator="equal" id="{F658A9A3-779A-4683-8361-66201899197B}">
            <xm:f>Listas!$B$7</xm:f>
            <x14:dxf>
              <fill>
                <patternFill>
                  <bgColor rgb="FF007AFF"/>
                </patternFill>
              </fill>
            </x14:dxf>
          </x14:cfRule>
          <x14:cfRule type="cellIs" priority="17" operator="equal" id="{33BFD2DC-1EEA-4211-BED7-D133D20CB4EB}">
            <xm:f>Listas!$B$6</xm:f>
            <x14:dxf>
              <fill>
                <patternFill>
                  <bgColor rgb="FF007AFF"/>
                </patternFill>
              </fill>
            </x14:dxf>
          </x14:cfRule>
          <x14:cfRule type="cellIs" priority="18" operator="equal" id="{F7D65C16-C550-4A9E-93FD-7A3EBE96B19C}">
            <xm:f>Listas!$B$5</xm:f>
            <x14:dxf>
              <fill>
                <patternFill>
                  <bgColor rgb="FF007AFF"/>
                </patternFill>
              </fill>
            </x14:dxf>
          </x14:cfRule>
          <xm:sqref>D9 D15 D21 D27 D33 D39 D45 D51 D57 D63</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365DEE1D-6CE4-4808-BF5C-0D9A49DE4C56}">
          <x14:formula1>
            <xm:f>'Tabla Valoración controles'!$D$4:$D$6</xm:f>
          </x14:formula1>
          <xm:sqref>X9:X68</xm:sqref>
        </x14:dataValidation>
        <x14:dataValidation type="list" allowBlank="1" showInputMessage="1" showErrorMessage="1" xr:uid="{2A81F5D8-5372-4A7B-A194-8E1988BB320C}">
          <x14:formula1>
            <xm:f>'Tabla Valoración controles'!$D$7:$D$8</xm:f>
          </x14:formula1>
          <xm:sqref>Y9:Y68</xm:sqref>
        </x14:dataValidation>
        <x14:dataValidation type="list" allowBlank="1" showInputMessage="1" showErrorMessage="1" xr:uid="{CC1DA1F7-C0FD-4B0E-9191-D1ABC30604B0}">
          <x14:formula1>
            <xm:f>'Tabla Valoración controles'!$D$9:$D$10</xm:f>
          </x14:formula1>
          <xm:sqref>AA9:AA68</xm:sqref>
        </x14:dataValidation>
        <x14:dataValidation type="list" allowBlank="1" showInputMessage="1" showErrorMessage="1" xr:uid="{AEA6CBB8-B2ED-4D12-AD04-ECDB16B7D8C6}">
          <x14:formula1>
            <xm:f>'Tabla Valoración controles'!$D$11:$D$12</xm:f>
          </x14:formula1>
          <xm:sqref>AB9:AB68</xm:sqref>
        </x14:dataValidation>
        <x14:dataValidation type="list" allowBlank="1" showInputMessage="1" showErrorMessage="1" xr:uid="{5F2AE864-2D6E-4C26-B842-633C2E198D07}">
          <x14:formula1>
            <xm:f>'Opciones Tratamiento'!$B$9:$B$10</xm:f>
          </x14:formula1>
          <xm:sqref>AS12:AS13 AS9:AS10 AS18:AS19 AS24:AS25 AS30:AS31 AS36:AS37 AS42:AS43 AS48:AS49 AS54:AS55 AS60:AS61 AS66:AS67 AS15:AS16 AS21:AS22 AS27:AS28 AS33:AS34 AS39:AS40 AS45:AS46 AS51:AS52 AS57:AS58 AS63:AS64</xm:sqref>
        </x14:dataValidation>
        <x14:dataValidation type="list" allowBlank="1" showInputMessage="1" showErrorMessage="1" xr:uid="{4C61D331-41D2-4B37-A65D-6F8A099249BB}">
          <x14:formula1>
            <xm:f>'Tabla Valoración controles'!$D$13:$D$14</xm:f>
          </x14:formula1>
          <xm:sqref>AC9:AC68</xm:sqref>
        </x14:dataValidation>
        <x14:dataValidation type="list" allowBlank="1" showInputMessage="1" showErrorMessage="1" xr:uid="{C868DE80-C292-4790-9AB2-9C9A1A3A4FC3}">
          <x14:formula1>
            <xm:f>'Opciones Tratamiento'!$E$2:$E$4</xm:f>
          </x14:formula1>
          <xm:sqref>E9:E68</xm:sqref>
        </x14:dataValidation>
        <x14:dataValidation type="list" allowBlank="1" showInputMessage="1" showErrorMessage="1" xr:uid="{D3666030-2A10-4665-BAB1-CD22125D09D2}">
          <x14:formula1>
            <xm:f>'Opciones Tratamiento'!$B$2:$B$5</xm:f>
          </x14:formula1>
          <xm:sqref>AJ9:AN9 AJ27:AN27 AJ15:AN15 AJ21:AN21 AJ33:AN33 AJ57:AN57 AJ51:AN51 AJ39:AN39 AJ63:AN63 AJ45:AN45</xm:sqref>
        </x14:dataValidation>
        <x14:dataValidation type="list" allowBlank="1" showInputMessage="1" showErrorMessage="1" xr:uid="{CC3F2FF2-2C01-4474-A074-2418752D7231}">
          <x14:formula1>
            <xm:f>'Tabla Impacto'!$F$210:$F$221</xm:f>
          </x14:formula1>
          <xm:sqref>P9:P68</xm:sqref>
        </x14:dataValidation>
        <x14:dataValidation type="custom" allowBlank="1" showInputMessage="1" showErrorMessage="1" error="Recuerde que las acciones se generan bajo la medida de mitigar el riesgo" xr:uid="{41891011-77E1-4FA3-900B-70BFB526FAC3}">
          <x14:formula1>
            <xm:f>IF(OR(AC9='Opciones Tratamiento'!$B$2,AC9='Opciones Tratamiento'!$B$3,AC9='Opciones Tratamiento'!$B$4),ISBLANK(AC9),ISTEXT(AC9))</xm:f>
          </x14:formula1>
          <xm:sqref>AO9:AP9 AO15:AP15 AO21:AP21 AO27:AP27 AO33:AP33 AO39:AP39 AO45:AP45 AO51:AP51 AO57:AP57 AO63:AP63</xm:sqref>
        </x14:dataValidation>
        <x14:dataValidation type="custom" allowBlank="1" showInputMessage="1" showErrorMessage="1" error="Recuerde que las acciones se generan bajo la medida de mitigar el riesgo" xr:uid="{0A996DBF-81C7-4117-8225-CCC432735656}">
          <x14:formula1>
            <xm:f>IF(OR(AJ9='Opciones Tratamiento'!$B$2,AJ9='Opciones Tratamiento'!$B$3,AJ9='Opciones Tratamiento'!$B$4),ISBLANK(AJ9),ISTEXT(AJ9))</xm:f>
          </x14:formula1>
          <xm:sqref>AK9:AK68</xm:sqref>
        </x14:dataValidation>
        <x14:dataValidation type="custom" allowBlank="1" showInputMessage="1" showErrorMessage="1" error="Recuerde que las acciones se generan bajo la medida de mitigar el riesgo" xr:uid="{E559438F-DDE9-484A-B921-801ACF5F07FC}">
          <x14:formula1>
            <xm:f>IF(OR(AD9='Opciones Tratamiento'!$B$2,AD9='Opciones Tratamiento'!$B$3,AD9='Opciones Tratamiento'!$B$4),ISBLANK(AD9),ISTEXT(AD9))</xm:f>
          </x14:formula1>
          <xm:sqref>AQ9:AQ68</xm:sqref>
        </x14:dataValidation>
        <x14:dataValidation type="list" allowBlank="1" showInputMessage="1" showErrorMessage="1" xr:uid="{65887E5A-D9BD-4F81-BB1A-21FD27E19F14}">
          <x14:formula1>
            <xm:f>'Opciones Tratamiento'!$B$13:$B$20</xm:f>
          </x14:formula1>
          <xm:sqref>I9:I68</xm:sqref>
        </x14:dataValidation>
        <x14:dataValidation type="custom" allowBlank="1" showInputMessage="1" showErrorMessage="1" error="Recuerde que las acciones se generan bajo la medida de mitigar el riesgo" xr:uid="{A365808C-423B-40A5-8295-798FEFF989A3}">
          <x14:formula1>
            <xm:f>IF(OR(AJ9='Opciones Tratamiento'!$B$2,AJ9='Opciones Tratamiento'!$B$3,AJ9='Opciones Tratamiento'!$B$4),ISBLANK(AJ9),ISTEXT(AJ9))</xm:f>
          </x14:formula1>
          <xm:sqref>AL9:AL68</xm:sqref>
        </x14:dataValidation>
        <x14:dataValidation type="custom" allowBlank="1" showInputMessage="1" showErrorMessage="1" error="Recuerde que las acciones se generan bajo la medida de mitigar el riesgo" xr:uid="{51ED5606-FFB0-4FA2-98D8-B1F12E672F82}">
          <x14:formula1>
            <xm:f>IF(OR(AJ9='Opciones Tratamiento'!$B$2,AJ9='Opciones Tratamiento'!$B$3,AJ9='Opciones Tratamiento'!$B$4),ISBLANK(AJ9),ISTEXT(AJ9))</xm:f>
          </x14:formula1>
          <xm:sqref>AM9:AM68</xm:sqref>
        </x14:dataValidation>
        <x14:dataValidation type="custom" allowBlank="1" showInputMessage="1" showErrorMessage="1" error="Recuerde que las acciones se generan bajo la medida de mitigar el riesgo" xr:uid="{0AB6071C-3B64-48B9-BA98-6923DEBF3F73}">
          <x14:formula1>
            <xm:f>IF(OR(AJ9='Opciones Tratamiento'!$B$2,AJ9='Opciones Tratamiento'!$B$3,AJ9='Opciones Tratamiento'!$B$4),ISBLANK(AJ9),ISTEXT(AJ9))</xm:f>
          </x14:formula1>
          <xm:sqref>AN9:AN68</xm:sqref>
        </x14:dataValidation>
        <x14:dataValidation type="list" allowBlank="1" showInputMessage="1" showErrorMessage="1" xr:uid="{816D97AD-DFF5-4C0B-890A-665AC52853CC}">
          <x14:formula1>
            <xm:f>Listas!$B$5:$B$22</xm:f>
          </x14:formula1>
          <xm:sqref>B57 B51 B45 B39 B33 B27 B21 B15 B63 B9</xm:sqref>
        </x14:dataValidation>
        <x14:dataValidation type="custom" allowBlank="1" showInputMessage="1" showErrorMessage="1" error="Recuerde que las acciones se generan bajo la medida de mitigar el riesgo" xr:uid="{E53D27B0-C25E-45DA-88D3-92F422AF9590}">
          <x14:formula1>
            <xm:f>IF(OR(AD9='Opciones Tratamiento'!$B$2,AD9='Opciones Tratamiento'!$B$3,AD9='Opciones Tratamiento'!$B$4),ISBLANK(AD9),ISTEXT(AD9))</xm:f>
          </x14:formula1>
          <xm:sqref>AR9:AS68</xm:sqref>
        </x14:dataValidation>
        <x14:dataValidation type="custom" allowBlank="1" showInputMessage="1" showErrorMessage="1" error="Recuerde que las acciones se generan bajo la medida de mitigar el riesgo" xr:uid="{0C62602D-BCB6-4EA3-B0E6-D7226962FF36}">
          <x14:formula1>
            <xm:f>IF(OR(AE9='Opciones Tratamiento'!$B$2,AE9='Opciones Tratamiento'!$B$3,AE9='Opciones Tratamiento'!$B$4),ISBLANK(AE9),ISTEXT(AE9))</xm:f>
          </x14:formula1>
          <xm:sqref>AT9:AT68</xm:sqref>
        </x14:dataValidation>
        <x14:dataValidation type="list" allowBlank="1" showInputMessage="1" showErrorMessage="1" xr:uid="{C570F9D2-49E3-41A6-B0E6-DE07291531CE}">
          <x14:formula1>
            <xm:f>'Terminos y definiciones'!$B$13:$B$51</xm:f>
          </x14:formula1>
          <xm:sqref>F9:F68</xm:sqref>
        </x14:dataValidation>
        <x14:dataValidation type="list" allowBlank="1" showInputMessage="1" showErrorMessage="1" xr:uid="{E4A387FA-0EC0-4E3E-80D2-392CFDE5EA19}">
          <x14:formula1>
            <xm:f>'Terminos y definiciones'!$B$55:$B$110</xm:f>
          </x14:formula1>
          <xm:sqref>G9:G68</xm:sqref>
        </x14:dataValidation>
        <x14:dataValidation type="list" allowBlank="1" showInputMessage="1" showErrorMessage="1" xr:uid="{BD595E5C-14FD-4793-9B77-B699FECC61EF}">
          <x14:formula1>
            <xm:f>'Terminos y definiciones'!$A$113:$A$115</xm:f>
          </x14:formula1>
          <xm:sqref>L9:L68</xm:sqref>
        </x14:dataValidation>
        <x14:dataValidation type="list" allowBlank="1" showInputMessage="1" showErrorMessage="1" xr:uid="{ACDBCA62-570D-417F-B408-082BE262FA76}">
          <x14:formula1>
            <xm:f>Lista!$N$5:$N$86</xm:f>
          </x14:formula1>
          <xm:sqref>V9:V68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97D9-5323-4CDE-97CC-B846B388F00F}">
  <dimension ref="A1:B115"/>
  <sheetViews>
    <sheetView showGridLines="0" zoomScaleNormal="100" workbookViewId="0">
      <selection activeCell="B12" sqref="B12"/>
    </sheetView>
  </sheetViews>
  <sheetFormatPr baseColWidth="10" defaultRowHeight="16.5" x14ac:dyDescent="0.3"/>
  <cols>
    <col min="1" max="1" width="36.42578125" style="197" customWidth="1"/>
    <col min="2" max="2" width="155.5703125" style="197" customWidth="1"/>
    <col min="3" max="16384" width="11.42578125" style="197"/>
  </cols>
  <sheetData>
    <row r="1" spans="1:2" ht="17.25" thickBot="1" x14ac:dyDescent="0.35">
      <c r="A1" s="222" t="s">
        <v>514</v>
      </c>
      <c r="B1" s="221" t="s">
        <v>513</v>
      </c>
    </row>
    <row r="2" spans="1:2" ht="41.25" customHeight="1" x14ac:dyDescent="0.3">
      <c r="A2" s="220" t="s">
        <v>512</v>
      </c>
      <c r="B2" s="219" t="s">
        <v>511</v>
      </c>
    </row>
    <row r="3" spans="1:2" x14ac:dyDescent="0.3">
      <c r="A3" s="217" t="s">
        <v>510</v>
      </c>
      <c r="B3" s="216" t="s">
        <v>509</v>
      </c>
    </row>
    <row r="4" spans="1:2" x14ac:dyDescent="0.3">
      <c r="A4" s="217" t="s">
        <v>508</v>
      </c>
      <c r="B4" s="218" t="s">
        <v>507</v>
      </c>
    </row>
    <row r="5" spans="1:2" ht="31.5" customHeight="1" x14ac:dyDescent="0.3">
      <c r="A5" s="217" t="s">
        <v>506</v>
      </c>
      <c r="B5" s="216" t="s">
        <v>505</v>
      </c>
    </row>
    <row r="6" spans="1:2" ht="25.5" x14ac:dyDescent="0.3">
      <c r="A6" s="217" t="s">
        <v>504</v>
      </c>
      <c r="B6" s="216" t="s">
        <v>503</v>
      </c>
    </row>
    <row r="7" spans="1:2" ht="33.75" customHeight="1" x14ac:dyDescent="0.3">
      <c r="A7" s="217" t="s">
        <v>502</v>
      </c>
      <c r="B7" s="216" t="s">
        <v>501</v>
      </c>
    </row>
    <row r="8" spans="1:2" ht="25.5" x14ac:dyDescent="0.3">
      <c r="A8" s="217" t="s">
        <v>500</v>
      </c>
      <c r="B8" s="216" t="s">
        <v>499</v>
      </c>
    </row>
    <row r="9" spans="1:2" ht="17.25" thickBot="1" x14ac:dyDescent="0.35">
      <c r="A9" s="215" t="s">
        <v>498</v>
      </c>
      <c r="B9" s="214" t="s">
        <v>497</v>
      </c>
    </row>
    <row r="10" spans="1:2" ht="17.25" thickBot="1" x14ac:dyDescent="0.35"/>
    <row r="11" spans="1:2" x14ac:dyDescent="0.3">
      <c r="A11" s="472" t="s">
        <v>496</v>
      </c>
      <c r="B11" s="473"/>
    </row>
    <row r="12" spans="1:2" ht="17.25" thickBot="1" x14ac:dyDescent="0.35">
      <c r="A12" s="209" t="s">
        <v>446</v>
      </c>
      <c r="B12" s="213" t="s">
        <v>495</v>
      </c>
    </row>
    <row r="13" spans="1:2" x14ac:dyDescent="0.3">
      <c r="A13" s="477" t="s">
        <v>494</v>
      </c>
      <c r="B13" s="211" t="s">
        <v>493</v>
      </c>
    </row>
    <row r="14" spans="1:2" ht="17.25" thickBot="1" x14ac:dyDescent="0.35">
      <c r="A14" s="478"/>
      <c r="B14" s="210" t="s">
        <v>492</v>
      </c>
    </row>
    <row r="15" spans="1:2" x14ac:dyDescent="0.3">
      <c r="A15" s="479" t="s">
        <v>491</v>
      </c>
      <c r="B15" s="211" t="s">
        <v>490</v>
      </c>
    </row>
    <row r="16" spans="1:2" ht="17.25" thickBot="1" x14ac:dyDescent="0.35">
      <c r="A16" s="480"/>
      <c r="B16" s="210" t="s">
        <v>489</v>
      </c>
    </row>
    <row r="17" spans="1:2" x14ac:dyDescent="0.3">
      <c r="A17" s="474" t="s">
        <v>488</v>
      </c>
      <c r="B17" s="211" t="s">
        <v>487</v>
      </c>
    </row>
    <row r="18" spans="1:2" x14ac:dyDescent="0.3">
      <c r="A18" s="475"/>
      <c r="B18" s="212" t="s">
        <v>486</v>
      </c>
    </row>
    <row r="19" spans="1:2" ht="17.25" thickBot="1" x14ac:dyDescent="0.35">
      <c r="A19" s="476"/>
      <c r="B19" s="210" t="s">
        <v>485</v>
      </c>
    </row>
    <row r="20" spans="1:2" x14ac:dyDescent="0.3">
      <c r="A20" s="479" t="s">
        <v>484</v>
      </c>
      <c r="B20" s="211" t="s">
        <v>483</v>
      </c>
    </row>
    <row r="21" spans="1:2" x14ac:dyDescent="0.3">
      <c r="A21" s="481"/>
      <c r="B21" s="212" t="s">
        <v>482</v>
      </c>
    </row>
    <row r="22" spans="1:2" x14ac:dyDescent="0.3">
      <c r="A22" s="481"/>
      <c r="B22" s="212" t="s">
        <v>481</v>
      </c>
    </row>
    <row r="23" spans="1:2" x14ac:dyDescent="0.3">
      <c r="A23" s="481"/>
      <c r="B23" s="212" t="s">
        <v>480</v>
      </c>
    </row>
    <row r="24" spans="1:2" x14ac:dyDescent="0.3">
      <c r="A24" s="481"/>
      <c r="B24" s="212" t="s">
        <v>479</v>
      </c>
    </row>
    <row r="25" spans="1:2" x14ac:dyDescent="0.3">
      <c r="A25" s="481"/>
      <c r="B25" s="212" t="s">
        <v>478</v>
      </c>
    </row>
    <row r="26" spans="1:2" x14ac:dyDescent="0.3">
      <c r="A26" s="481"/>
      <c r="B26" s="212" t="s">
        <v>477</v>
      </c>
    </row>
    <row r="27" spans="1:2" x14ac:dyDescent="0.3">
      <c r="A27" s="481"/>
      <c r="B27" s="212" t="s">
        <v>476</v>
      </c>
    </row>
    <row r="28" spans="1:2" x14ac:dyDescent="0.3">
      <c r="A28" s="481"/>
      <c r="B28" s="212" t="s">
        <v>475</v>
      </c>
    </row>
    <row r="29" spans="1:2" x14ac:dyDescent="0.3">
      <c r="A29" s="481"/>
      <c r="B29" s="212" t="s">
        <v>474</v>
      </c>
    </row>
    <row r="30" spans="1:2" ht="17.25" thickBot="1" x14ac:dyDescent="0.35">
      <c r="A30" s="480"/>
      <c r="B30" s="210" t="s">
        <v>473</v>
      </c>
    </row>
    <row r="31" spans="1:2" x14ac:dyDescent="0.3">
      <c r="A31" s="474" t="s">
        <v>472</v>
      </c>
      <c r="B31" s="211" t="s">
        <v>471</v>
      </c>
    </row>
    <row r="32" spans="1:2" x14ac:dyDescent="0.3">
      <c r="A32" s="475"/>
      <c r="B32" s="212" t="s">
        <v>470</v>
      </c>
    </row>
    <row r="33" spans="1:2" x14ac:dyDescent="0.3">
      <c r="A33" s="475"/>
      <c r="B33" s="212" t="s">
        <v>469</v>
      </c>
    </row>
    <row r="34" spans="1:2" x14ac:dyDescent="0.3">
      <c r="A34" s="475"/>
      <c r="B34" s="212" t="s">
        <v>468</v>
      </c>
    </row>
    <row r="35" spans="1:2" x14ac:dyDescent="0.3">
      <c r="A35" s="475"/>
      <c r="B35" s="212" t="s">
        <v>467</v>
      </c>
    </row>
    <row r="36" spans="1:2" x14ac:dyDescent="0.3">
      <c r="A36" s="475"/>
      <c r="B36" s="212" t="s">
        <v>466</v>
      </c>
    </row>
    <row r="37" spans="1:2" x14ac:dyDescent="0.3">
      <c r="A37" s="475"/>
      <c r="B37" s="212" t="s">
        <v>465</v>
      </c>
    </row>
    <row r="38" spans="1:2" x14ac:dyDescent="0.3">
      <c r="A38" s="475"/>
      <c r="B38" s="212" t="s">
        <v>464</v>
      </c>
    </row>
    <row r="39" spans="1:2" x14ac:dyDescent="0.3">
      <c r="A39" s="475"/>
      <c r="B39" s="212" t="s">
        <v>463</v>
      </c>
    </row>
    <row r="40" spans="1:2" x14ac:dyDescent="0.3">
      <c r="A40" s="475"/>
      <c r="B40" s="212" t="s">
        <v>462</v>
      </c>
    </row>
    <row r="41" spans="1:2" x14ac:dyDescent="0.3">
      <c r="A41" s="475"/>
      <c r="B41" s="212" t="s">
        <v>461</v>
      </c>
    </row>
    <row r="42" spans="1:2" x14ac:dyDescent="0.3">
      <c r="A42" s="475"/>
      <c r="B42" s="212" t="s">
        <v>460</v>
      </c>
    </row>
    <row r="43" spans="1:2" x14ac:dyDescent="0.3">
      <c r="A43" s="475"/>
      <c r="B43" s="212" t="s">
        <v>459</v>
      </c>
    </row>
    <row r="44" spans="1:2" x14ac:dyDescent="0.3">
      <c r="A44" s="475"/>
      <c r="B44" s="212" t="s">
        <v>458</v>
      </c>
    </row>
    <row r="45" spans="1:2" ht="17.25" thickBot="1" x14ac:dyDescent="0.35">
      <c r="A45" s="476"/>
      <c r="B45" s="210" t="s">
        <v>457</v>
      </c>
    </row>
    <row r="46" spans="1:2" x14ac:dyDescent="0.3">
      <c r="A46" s="474" t="s">
        <v>456</v>
      </c>
      <c r="B46" s="211" t="s">
        <v>455</v>
      </c>
    </row>
    <row r="47" spans="1:2" ht="17.25" thickBot="1" x14ac:dyDescent="0.35">
      <c r="A47" s="476"/>
      <c r="B47" s="210" t="s">
        <v>454</v>
      </c>
    </row>
    <row r="48" spans="1:2" x14ac:dyDescent="0.3">
      <c r="A48" s="477" t="s">
        <v>453</v>
      </c>
      <c r="B48" s="207" t="s">
        <v>452</v>
      </c>
    </row>
    <row r="49" spans="1:2" ht="17.25" thickBot="1" x14ac:dyDescent="0.35">
      <c r="A49" s="478"/>
      <c r="B49" s="205" t="s">
        <v>451</v>
      </c>
    </row>
    <row r="50" spans="1:2" x14ac:dyDescent="0.3">
      <c r="A50" s="482" t="s">
        <v>450</v>
      </c>
      <c r="B50" s="207" t="s">
        <v>449</v>
      </c>
    </row>
    <row r="51" spans="1:2" ht="17.25" thickBot="1" x14ac:dyDescent="0.35">
      <c r="A51" s="483"/>
      <c r="B51" s="205" t="s">
        <v>448</v>
      </c>
    </row>
    <row r="52" spans="1:2" ht="17.25" thickBot="1" x14ac:dyDescent="0.35"/>
    <row r="53" spans="1:2" x14ac:dyDescent="0.3">
      <c r="A53" s="472" t="s">
        <v>447</v>
      </c>
      <c r="B53" s="473"/>
    </row>
    <row r="54" spans="1:2" ht="17.25" thickBot="1" x14ac:dyDescent="0.35">
      <c r="A54" s="209" t="s">
        <v>446</v>
      </c>
      <c r="B54" s="208" t="s">
        <v>445</v>
      </c>
    </row>
    <row r="55" spans="1:2" x14ac:dyDescent="0.3">
      <c r="A55" s="479" t="s">
        <v>444</v>
      </c>
      <c r="B55" s="207" t="s">
        <v>443</v>
      </c>
    </row>
    <row r="56" spans="1:2" x14ac:dyDescent="0.3">
      <c r="A56" s="481"/>
      <c r="B56" s="203" t="s">
        <v>442</v>
      </c>
    </row>
    <row r="57" spans="1:2" x14ac:dyDescent="0.3">
      <c r="A57" s="481"/>
      <c r="B57" s="203" t="s">
        <v>441</v>
      </c>
    </row>
    <row r="58" spans="1:2" x14ac:dyDescent="0.3">
      <c r="A58" s="481"/>
      <c r="B58" s="203" t="s">
        <v>440</v>
      </c>
    </row>
    <row r="59" spans="1:2" x14ac:dyDescent="0.3">
      <c r="A59" s="481"/>
      <c r="B59" s="203" t="s">
        <v>439</v>
      </c>
    </row>
    <row r="60" spans="1:2" x14ac:dyDescent="0.3">
      <c r="A60" s="481"/>
      <c r="B60" s="203" t="s">
        <v>438</v>
      </c>
    </row>
    <row r="61" spans="1:2" x14ac:dyDescent="0.3">
      <c r="A61" s="481"/>
      <c r="B61" s="203" t="s">
        <v>437</v>
      </c>
    </row>
    <row r="62" spans="1:2" x14ac:dyDescent="0.3">
      <c r="A62" s="481"/>
      <c r="B62" s="203" t="s">
        <v>436</v>
      </c>
    </row>
    <row r="63" spans="1:2" x14ac:dyDescent="0.3">
      <c r="A63" s="481"/>
      <c r="B63" s="203" t="s">
        <v>435</v>
      </c>
    </row>
    <row r="64" spans="1:2" x14ac:dyDescent="0.3">
      <c r="A64" s="481"/>
      <c r="B64" s="203" t="s">
        <v>434</v>
      </c>
    </row>
    <row r="65" spans="1:2" x14ac:dyDescent="0.3">
      <c r="A65" s="481"/>
      <c r="B65" s="203" t="s">
        <v>433</v>
      </c>
    </row>
    <row r="66" spans="1:2" x14ac:dyDescent="0.3">
      <c r="A66" s="481"/>
      <c r="B66" s="203" t="s">
        <v>432</v>
      </c>
    </row>
    <row r="67" spans="1:2" x14ac:dyDescent="0.3">
      <c r="A67" s="481"/>
      <c r="B67" s="203" t="s">
        <v>431</v>
      </c>
    </row>
    <row r="68" spans="1:2" ht="17.25" thickBot="1" x14ac:dyDescent="0.35">
      <c r="A68" s="480"/>
      <c r="B68" s="205" t="s">
        <v>430</v>
      </c>
    </row>
    <row r="69" spans="1:2" x14ac:dyDescent="0.3">
      <c r="A69" s="479" t="s">
        <v>429</v>
      </c>
      <c r="B69" s="207" t="s">
        <v>428</v>
      </c>
    </row>
    <row r="70" spans="1:2" x14ac:dyDescent="0.3">
      <c r="A70" s="481"/>
      <c r="B70" s="203" t="s">
        <v>427</v>
      </c>
    </row>
    <row r="71" spans="1:2" x14ac:dyDescent="0.3">
      <c r="A71" s="481"/>
      <c r="B71" s="203" t="s">
        <v>426</v>
      </c>
    </row>
    <row r="72" spans="1:2" x14ac:dyDescent="0.3">
      <c r="A72" s="481"/>
      <c r="B72" s="203" t="s">
        <v>425</v>
      </c>
    </row>
    <row r="73" spans="1:2" x14ac:dyDescent="0.3">
      <c r="A73" s="481"/>
      <c r="B73" s="203" t="s">
        <v>424</v>
      </c>
    </row>
    <row r="74" spans="1:2" x14ac:dyDescent="0.3">
      <c r="A74" s="481"/>
      <c r="B74" s="203" t="s">
        <v>423</v>
      </c>
    </row>
    <row r="75" spans="1:2" x14ac:dyDescent="0.3">
      <c r="A75" s="481"/>
      <c r="B75" s="203" t="s">
        <v>422</v>
      </c>
    </row>
    <row r="76" spans="1:2" x14ac:dyDescent="0.3">
      <c r="A76" s="481"/>
      <c r="B76" s="203" t="s">
        <v>421</v>
      </c>
    </row>
    <row r="77" spans="1:2" x14ac:dyDescent="0.3">
      <c r="A77" s="481"/>
      <c r="B77" s="203" t="s">
        <v>420</v>
      </c>
    </row>
    <row r="78" spans="1:2" x14ac:dyDescent="0.3">
      <c r="A78" s="481"/>
      <c r="B78" s="203" t="s">
        <v>419</v>
      </c>
    </row>
    <row r="79" spans="1:2" x14ac:dyDescent="0.3">
      <c r="A79" s="481"/>
      <c r="B79" s="203" t="s">
        <v>418</v>
      </c>
    </row>
    <row r="80" spans="1:2" x14ac:dyDescent="0.3">
      <c r="A80" s="481"/>
      <c r="B80" s="203" t="s">
        <v>417</v>
      </c>
    </row>
    <row r="81" spans="1:2" x14ac:dyDescent="0.3">
      <c r="A81" s="481"/>
      <c r="B81" s="203" t="s">
        <v>416</v>
      </c>
    </row>
    <row r="82" spans="1:2" x14ac:dyDescent="0.3">
      <c r="A82" s="481"/>
      <c r="B82" s="203" t="s">
        <v>415</v>
      </c>
    </row>
    <row r="83" spans="1:2" x14ac:dyDescent="0.3">
      <c r="A83" s="481"/>
      <c r="B83" s="203" t="s">
        <v>414</v>
      </c>
    </row>
    <row r="84" spans="1:2" ht="17.25" thickBot="1" x14ac:dyDescent="0.35">
      <c r="A84" s="480"/>
      <c r="B84" s="205" t="s">
        <v>413</v>
      </c>
    </row>
    <row r="85" spans="1:2" x14ac:dyDescent="0.3">
      <c r="A85" s="479" t="s">
        <v>412</v>
      </c>
      <c r="B85" s="207" t="s">
        <v>411</v>
      </c>
    </row>
    <row r="86" spans="1:2" x14ac:dyDescent="0.3">
      <c r="A86" s="481"/>
      <c r="B86" s="203" t="s">
        <v>410</v>
      </c>
    </row>
    <row r="87" spans="1:2" x14ac:dyDescent="0.3">
      <c r="A87" s="481"/>
      <c r="B87" s="203" t="s">
        <v>409</v>
      </c>
    </row>
    <row r="88" spans="1:2" x14ac:dyDescent="0.3">
      <c r="A88" s="481"/>
      <c r="B88" s="203" t="s">
        <v>408</v>
      </c>
    </row>
    <row r="89" spans="1:2" x14ac:dyDescent="0.3">
      <c r="A89" s="481"/>
      <c r="B89" s="203" t="s">
        <v>407</v>
      </c>
    </row>
    <row r="90" spans="1:2" ht="16.5" customHeight="1" x14ac:dyDescent="0.3">
      <c r="A90" s="481"/>
      <c r="B90" s="206" t="s">
        <v>406</v>
      </c>
    </row>
    <row r="91" spans="1:2" ht="17.25" thickBot="1" x14ac:dyDescent="0.35">
      <c r="A91" s="480"/>
      <c r="B91" s="205" t="s">
        <v>405</v>
      </c>
    </row>
    <row r="92" spans="1:2" x14ac:dyDescent="0.3">
      <c r="A92" s="479" t="s">
        <v>404</v>
      </c>
      <c r="B92" s="207" t="s">
        <v>403</v>
      </c>
    </row>
    <row r="93" spans="1:2" ht="15" customHeight="1" x14ac:dyDescent="0.3">
      <c r="A93" s="481"/>
      <c r="B93" s="206" t="s">
        <v>402</v>
      </c>
    </row>
    <row r="94" spans="1:2" ht="16.5" customHeight="1" x14ac:dyDescent="0.3">
      <c r="A94" s="481"/>
      <c r="B94" s="206" t="s">
        <v>401</v>
      </c>
    </row>
    <row r="95" spans="1:2" x14ac:dyDescent="0.3">
      <c r="A95" s="481"/>
      <c r="B95" s="203" t="s">
        <v>400</v>
      </c>
    </row>
    <row r="96" spans="1:2" x14ac:dyDescent="0.3">
      <c r="A96" s="481"/>
      <c r="B96" s="203" t="s">
        <v>399</v>
      </c>
    </row>
    <row r="97" spans="1:2" ht="17.25" thickBot="1" x14ac:dyDescent="0.35">
      <c r="A97" s="480"/>
      <c r="B97" s="205" t="s">
        <v>398</v>
      </c>
    </row>
    <row r="98" spans="1:2" x14ac:dyDescent="0.3">
      <c r="A98" s="479" t="s">
        <v>397</v>
      </c>
      <c r="B98" s="204" t="s">
        <v>396</v>
      </c>
    </row>
    <row r="99" spans="1:2" x14ac:dyDescent="0.3">
      <c r="A99" s="481"/>
      <c r="B99" s="203" t="s">
        <v>395</v>
      </c>
    </row>
    <row r="100" spans="1:2" x14ac:dyDescent="0.3">
      <c r="A100" s="481"/>
      <c r="B100" s="203" t="s">
        <v>394</v>
      </c>
    </row>
    <row r="101" spans="1:2" x14ac:dyDescent="0.3">
      <c r="A101" s="481"/>
      <c r="B101" s="203" t="s">
        <v>393</v>
      </c>
    </row>
    <row r="102" spans="1:2" x14ac:dyDescent="0.3">
      <c r="A102" s="481"/>
      <c r="B102" s="203" t="s">
        <v>392</v>
      </c>
    </row>
    <row r="103" spans="1:2" ht="17.25" thickBot="1" x14ac:dyDescent="0.35">
      <c r="A103" s="480"/>
      <c r="B103" s="202" t="s">
        <v>391</v>
      </c>
    </row>
    <row r="104" spans="1:2" x14ac:dyDescent="0.3">
      <c r="A104" s="479" t="s">
        <v>390</v>
      </c>
      <c r="B104" s="204" t="s">
        <v>389</v>
      </c>
    </row>
    <row r="105" spans="1:2" x14ac:dyDescent="0.3">
      <c r="A105" s="481"/>
      <c r="B105" s="203" t="s">
        <v>388</v>
      </c>
    </row>
    <row r="106" spans="1:2" x14ac:dyDescent="0.3">
      <c r="A106" s="481"/>
      <c r="B106" s="203" t="s">
        <v>387</v>
      </c>
    </row>
    <row r="107" spans="1:2" x14ac:dyDescent="0.3">
      <c r="A107" s="481"/>
      <c r="B107" s="203" t="s">
        <v>386</v>
      </c>
    </row>
    <row r="108" spans="1:2" x14ac:dyDescent="0.3">
      <c r="A108" s="481"/>
      <c r="B108" s="203" t="s">
        <v>385</v>
      </c>
    </row>
    <row r="109" spans="1:2" ht="17.25" thickBot="1" x14ac:dyDescent="0.35">
      <c r="A109" s="480"/>
      <c r="B109" s="202" t="s">
        <v>384</v>
      </c>
    </row>
    <row r="110" spans="1:2" ht="17.25" thickBot="1" x14ac:dyDescent="0.35">
      <c r="A110" s="201" t="s">
        <v>383</v>
      </c>
      <c r="B110" s="200" t="s">
        <v>382</v>
      </c>
    </row>
    <row r="111" spans="1:2" ht="15" customHeight="1" x14ac:dyDescent="0.3"/>
    <row r="112" spans="1:2" x14ac:dyDescent="0.3">
      <c r="A112" s="199" t="s">
        <v>381</v>
      </c>
    </row>
    <row r="113" spans="1:1" x14ac:dyDescent="0.3">
      <c r="A113" s="198" t="s">
        <v>380</v>
      </c>
    </row>
    <row r="114" spans="1:1" x14ac:dyDescent="0.3">
      <c r="A114" s="198" t="s">
        <v>379</v>
      </c>
    </row>
    <row r="115" spans="1:1" x14ac:dyDescent="0.3">
      <c r="A115" s="198" t="s">
        <v>378</v>
      </c>
    </row>
  </sheetData>
  <sheetProtection algorithmName="SHA-512" hashValue="YExlrmLUTthKDRU4YppvhL54e0HRJ5n87PZw+MBuK/DC/IomYMy/DdFi/zGblkUaoq1JJJ+MwRC+efoh+kuD+w==" saltValue="16geV4GhXHuXpm3+WWbhMg==" spinCount="100000" sheet="1" objects="1" scenarios="1"/>
  <mergeCells count="16">
    <mergeCell ref="A50:A51"/>
    <mergeCell ref="A85:A91"/>
    <mergeCell ref="A92:A97"/>
    <mergeCell ref="A98:A103"/>
    <mergeCell ref="A104:A109"/>
    <mergeCell ref="A53:B53"/>
    <mergeCell ref="A55:A68"/>
    <mergeCell ref="A69:A84"/>
    <mergeCell ref="A11:B11"/>
    <mergeCell ref="A17:A19"/>
    <mergeCell ref="A31:A45"/>
    <mergeCell ref="A46:A47"/>
    <mergeCell ref="A48:A49"/>
    <mergeCell ref="A13:A14"/>
    <mergeCell ref="A15:A16"/>
    <mergeCell ref="A20:A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AD3A4-DE66-4369-BE5C-74E147B8DC0C}">
  <dimension ref="A1:F167"/>
  <sheetViews>
    <sheetView showGridLines="0" topLeftCell="A3" zoomScaleNormal="100" workbookViewId="0">
      <selection activeCell="D16" sqref="D16"/>
    </sheetView>
  </sheetViews>
  <sheetFormatPr baseColWidth="10" defaultRowHeight="12.75" x14ac:dyDescent="0.2"/>
  <cols>
    <col min="1" max="1" width="8.28515625" style="225" bestFit="1" customWidth="1"/>
    <col min="2" max="2" width="28" style="223" customWidth="1"/>
    <col min="3" max="3" width="97.7109375" style="223" customWidth="1"/>
    <col min="4" max="4" width="8.85546875" style="225" customWidth="1"/>
    <col min="5" max="5" width="87" style="224" customWidth="1"/>
    <col min="6" max="16384" width="11.42578125" style="223"/>
  </cols>
  <sheetData>
    <row r="1" spans="1:5" x14ac:dyDescent="0.2">
      <c r="A1" s="244" t="s">
        <v>1081</v>
      </c>
      <c r="B1" s="247" t="s">
        <v>1080</v>
      </c>
      <c r="C1" s="246" t="s">
        <v>1079</v>
      </c>
      <c r="D1" s="245" t="s">
        <v>1078</v>
      </c>
      <c r="E1" s="244" t="s">
        <v>1077</v>
      </c>
    </row>
    <row r="2" spans="1:5" x14ac:dyDescent="0.2">
      <c r="A2" s="131">
        <v>1</v>
      </c>
      <c r="B2" s="227" t="s">
        <v>1076</v>
      </c>
      <c r="C2" s="227" t="s">
        <v>1075</v>
      </c>
      <c r="D2" s="131"/>
      <c r="E2" s="243"/>
    </row>
    <row r="3" spans="1:5" x14ac:dyDescent="0.2">
      <c r="A3" s="131">
        <v>2</v>
      </c>
      <c r="B3" s="227" t="s">
        <v>1074</v>
      </c>
      <c r="C3" s="227" t="s">
        <v>1073</v>
      </c>
      <c r="D3" s="131"/>
      <c r="E3" s="243"/>
    </row>
    <row r="4" spans="1:5" x14ac:dyDescent="0.2">
      <c r="A4" s="131">
        <v>3</v>
      </c>
      <c r="B4" s="227" t="s">
        <v>1072</v>
      </c>
      <c r="C4" s="227" t="s">
        <v>1071</v>
      </c>
      <c r="D4" s="131"/>
      <c r="E4" s="243"/>
    </row>
    <row r="5" spans="1:5" ht="25.5" x14ac:dyDescent="0.2">
      <c r="A5" s="131">
        <v>4</v>
      </c>
      <c r="B5" s="227" t="s">
        <v>1070</v>
      </c>
      <c r="C5" s="227" t="s">
        <v>1069</v>
      </c>
      <c r="D5" s="131"/>
      <c r="E5" s="243"/>
    </row>
    <row r="6" spans="1:5" ht="26.25" customHeight="1" x14ac:dyDescent="0.2">
      <c r="A6" s="229" t="s">
        <v>1068</v>
      </c>
      <c r="B6" s="230" t="s">
        <v>1067</v>
      </c>
      <c r="C6" s="230"/>
      <c r="D6" s="229"/>
      <c r="E6" s="243"/>
    </row>
    <row r="7" spans="1:5" ht="25.5" x14ac:dyDescent="0.2">
      <c r="A7" s="229" t="s">
        <v>1066</v>
      </c>
      <c r="B7" s="230" t="s">
        <v>1065</v>
      </c>
      <c r="C7" s="230" t="s">
        <v>1064</v>
      </c>
      <c r="D7" s="229" t="s">
        <v>521</v>
      </c>
      <c r="E7" s="226" t="s">
        <v>1063</v>
      </c>
    </row>
    <row r="8" spans="1:5" ht="25.5" x14ac:dyDescent="0.2">
      <c r="A8" s="131" t="s">
        <v>1062</v>
      </c>
      <c r="B8" s="242" t="s">
        <v>1061</v>
      </c>
      <c r="C8" s="227" t="s">
        <v>1060</v>
      </c>
      <c r="D8" s="131" t="s">
        <v>521</v>
      </c>
      <c r="E8" s="226" t="s">
        <v>1059</v>
      </c>
    </row>
    <row r="9" spans="1:5" ht="25.5" x14ac:dyDescent="0.2">
      <c r="A9" s="131" t="s">
        <v>1058</v>
      </c>
      <c r="B9" s="227" t="s">
        <v>1057</v>
      </c>
      <c r="C9" s="227" t="s">
        <v>1056</v>
      </c>
      <c r="D9" s="131" t="s">
        <v>521</v>
      </c>
      <c r="E9" s="226" t="s">
        <v>1055</v>
      </c>
    </row>
    <row r="10" spans="1:5" ht="25.5" x14ac:dyDescent="0.2">
      <c r="A10" s="229" t="s">
        <v>1054</v>
      </c>
      <c r="B10" s="230" t="s">
        <v>1053</v>
      </c>
      <c r="C10" s="230"/>
      <c r="D10" s="229"/>
      <c r="E10" s="226"/>
    </row>
    <row r="11" spans="1:5" ht="25.5" x14ac:dyDescent="0.2">
      <c r="A11" s="229" t="s">
        <v>1052</v>
      </c>
      <c r="B11" s="230" t="s">
        <v>1051</v>
      </c>
      <c r="C11" s="230" t="s">
        <v>1050</v>
      </c>
      <c r="D11" s="229"/>
      <c r="E11" s="226"/>
    </row>
    <row r="12" spans="1:5" ht="29.25" customHeight="1" x14ac:dyDescent="0.2">
      <c r="A12" s="131" t="s">
        <v>1049</v>
      </c>
      <c r="B12" s="227" t="s">
        <v>1048</v>
      </c>
      <c r="C12" s="227" t="s">
        <v>1047</v>
      </c>
      <c r="D12" s="131" t="s">
        <v>521</v>
      </c>
      <c r="E12" s="226" t="s">
        <v>1046</v>
      </c>
    </row>
    <row r="13" spans="1:5" ht="25.5" x14ac:dyDescent="0.2">
      <c r="A13" s="131" t="s">
        <v>1045</v>
      </c>
      <c r="B13" s="227" t="s">
        <v>1044</v>
      </c>
      <c r="C13" s="227" t="s">
        <v>1043</v>
      </c>
      <c r="D13" s="131" t="s">
        <v>521</v>
      </c>
      <c r="E13" s="226" t="s">
        <v>1042</v>
      </c>
    </row>
    <row r="14" spans="1:5" x14ac:dyDescent="0.2">
      <c r="A14" s="131" t="s">
        <v>1041</v>
      </c>
      <c r="B14" s="227" t="s">
        <v>1040</v>
      </c>
      <c r="C14" s="227" t="s">
        <v>1039</v>
      </c>
      <c r="D14" s="131" t="s">
        <v>521</v>
      </c>
      <c r="E14" s="226" t="s">
        <v>1038</v>
      </c>
    </row>
    <row r="15" spans="1:5" ht="25.5" x14ac:dyDescent="0.2">
      <c r="A15" s="131" t="s">
        <v>1037</v>
      </c>
      <c r="B15" s="227" t="s">
        <v>1036</v>
      </c>
      <c r="C15" s="227" t="s">
        <v>1035</v>
      </c>
      <c r="D15" s="131" t="s">
        <v>521</v>
      </c>
      <c r="E15" s="226" t="s">
        <v>1034</v>
      </c>
    </row>
    <row r="16" spans="1:5" ht="25.5" x14ac:dyDescent="0.2">
      <c r="A16" s="131" t="s">
        <v>1033</v>
      </c>
      <c r="B16" s="227" t="s">
        <v>1032</v>
      </c>
      <c r="C16" s="227" t="s">
        <v>1031</v>
      </c>
      <c r="D16" s="131"/>
      <c r="E16" s="226"/>
    </row>
    <row r="17" spans="1:6" x14ac:dyDescent="0.2">
      <c r="A17" s="229" t="s">
        <v>1030</v>
      </c>
      <c r="B17" s="230" t="s">
        <v>1029</v>
      </c>
      <c r="C17" s="230" t="s">
        <v>1028</v>
      </c>
      <c r="D17" s="229" t="s">
        <v>521</v>
      </c>
      <c r="E17" s="226" t="s">
        <v>1027</v>
      </c>
    </row>
    <row r="18" spans="1:6" ht="25.5" x14ac:dyDescent="0.2">
      <c r="A18" s="131" t="s">
        <v>1026</v>
      </c>
      <c r="B18" s="227" t="s">
        <v>1025</v>
      </c>
      <c r="C18" s="227" t="s">
        <v>1024</v>
      </c>
      <c r="D18" s="131" t="s">
        <v>521</v>
      </c>
      <c r="E18" s="226" t="s">
        <v>1023</v>
      </c>
    </row>
    <row r="19" spans="1:6" ht="25.5" x14ac:dyDescent="0.2">
      <c r="A19" s="131" t="s">
        <v>1022</v>
      </c>
      <c r="B19" s="227" t="s">
        <v>1021</v>
      </c>
      <c r="C19" s="227" t="s">
        <v>1020</v>
      </c>
      <c r="D19" s="131" t="s">
        <v>521</v>
      </c>
      <c r="E19" s="226" t="s">
        <v>1019</v>
      </c>
    </row>
    <row r="20" spans="1:6" x14ac:dyDescent="0.2">
      <c r="A20" s="229" t="s">
        <v>1018</v>
      </c>
      <c r="B20" s="230" t="s">
        <v>1017</v>
      </c>
      <c r="C20" s="230"/>
      <c r="D20" s="229"/>
      <c r="E20" s="226"/>
    </row>
    <row r="21" spans="1:6" ht="25.5" x14ac:dyDescent="0.2">
      <c r="A21" s="229" t="s">
        <v>1016</v>
      </c>
      <c r="B21" s="230" t="s">
        <v>1015</v>
      </c>
      <c r="C21" s="230" t="s">
        <v>1014</v>
      </c>
      <c r="D21" s="229" t="s">
        <v>521</v>
      </c>
      <c r="E21" s="226" t="s">
        <v>1013</v>
      </c>
      <c r="F21" s="223" t="s">
        <v>519</v>
      </c>
    </row>
    <row r="22" spans="1:6" ht="38.25" x14ac:dyDescent="0.2">
      <c r="A22" s="131" t="s">
        <v>1012</v>
      </c>
      <c r="B22" s="227" t="s">
        <v>319</v>
      </c>
      <c r="C22" s="227" t="s">
        <v>1011</v>
      </c>
      <c r="D22" s="131" t="s">
        <v>521</v>
      </c>
      <c r="E22" s="226" t="s">
        <v>1010</v>
      </c>
      <c r="F22" s="223" t="s">
        <v>519</v>
      </c>
    </row>
    <row r="23" spans="1:6" ht="25.5" x14ac:dyDescent="0.2">
      <c r="A23" s="131" t="s">
        <v>1009</v>
      </c>
      <c r="B23" s="227" t="s">
        <v>1008</v>
      </c>
      <c r="C23" s="227" t="s">
        <v>1007</v>
      </c>
      <c r="D23" s="131" t="s">
        <v>521</v>
      </c>
      <c r="E23" s="226" t="s">
        <v>1006</v>
      </c>
    </row>
    <row r="24" spans="1:6" ht="25.5" x14ac:dyDescent="0.2">
      <c r="A24" s="229" t="s">
        <v>1005</v>
      </c>
      <c r="B24" s="230" t="s">
        <v>1004</v>
      </c>
      <c r="C24" s="230" t="s">
        <v>1003</v>
      </c>
      <c r="D24" s="229" t="s">
        <v>521</v>
      </c>
      <c r="E24" s="226" t="s">
        <v>1002</v>
      </c>
      <c r="F24" s="223" t="s">
        <v>519</v>
      </c>
    </row>
    <row r="25" spans="1:6" ht="25.5" x14ac:dyDescent="0.2">
      <c r="A25" s="131" t="s">
        <v>1001</v>
      </c>
      <c r="B25" s="227" t="s">
        <v>1000</v>
      </c>
      <c r="C25" s="227" t="s">
        <v>999</v>
      </c>
      <c r="D25" s="131" t="s">
        <v>521</v>
      </c>
      <c r="E25" s="226" t="s">
        <v>998</v>
      </c>
    </row>
    <row r="26" spans="1:6" ht="38.25" x14ac:dyDescent="0.2">
      <c r="A26" s="131" t="s">
        <v>997</v>
      </c>
      <c r="B26" s="227" t="s">
        <v>996</v>
      </c>
      <c r="C26" s="227" t="s">
        <v>995</v>
      </c>
      <c r="D26" s="131" t="s">
        <v>521</v>
      </c>
      <c r="E26" s="226" t="s">
        <v>994</v>
      </c>
    </row>
    <row r="27" spans="1:6" ht="25.5" x14ac:dyDescent="0.2">
      <c r="A27" s="131" t="s">
        <v>993</v>
      </c>
      <c r="B27" s="227" t="s">
        <v>992</v>
      </c>
      <c r="C27" s="227" t="s">
        <v>991</v>
      </c>
      <c r="D27" s="131"/>
      <c r="E27" s="226"/>
    </row>
    <row r="28" spans="1:6" x14ac:dyDescent="0.2">
      <c r="A28" s="229" t="s">
        <v>990</v>
      </c>
      <c r="B28" s="230" t="s">
        <v>989</v>
      </c>
      <c r="C28" s="230" t="s">
        <v>988</v>
      </c>
      <c r="D28" s="229"/>
      <c r="E28" s="226"/>
    </row>
    <row r="29" spans="1:6" ht="25.5" x14ac:dyDescent="0.2">
      <c r="A29" s="131" t="s">
        <v>987</v>
      </c>
      <c r="B29" s="227" t="s">
        <v>986</v>
      </c>
      <c r="C29" s="227" t="s">
        <v>985</v>
      </c>
      <c r="D29" s="131" t="s">
        <v>521</v>
      </c>
      <c r="E29" s="226" t="s">
        <v>984</v>
      </c>
      <c r="F29" s="223" t="s">
        <v>519</v>
      </c>
    </row>
    <row r="30" spans="1:6" x14ac:dyDescent="0.2">
      <c r="A30" s="229" t="s">
        <v>983</v>
      </c>
      <c r="B30" s="230" t="s">
        <v>982</v>
      </c>
      <c r="C30" s="230"/>
      <c r="D30" s="229"/>
      <c r="E30" s="226"/>
    </row>
    <row r="31" spans="1:6" x14ac:dyDescent="0.2">
      <c r="A31" s="229" t="s">
        <v>981</v>
      </c>
      <c r="B31" s="230" t="s">
        <v>980</v>
      </c>
      <c r="C31" s="230" t="s">
        <v>979</v>
      </c>
      <c r="D31" s="229"/>
      <c r="E31" s="226"/>
    </row>
    <row r="32" spans="1:6" ht="25.5" x14ac:dyDescent="0.2">
      <c r="A32" s="131" t="s">
        <v>978</v>
      </c>
      <c r="B32" s="227" t="s">
        <v>977</v>
      </c>
      <c r="C32" s="227" t="s">
        <v>976</v>
      </c>
      <c r="D32" s="131" t="s">
        <v>521</v>
      </c>
      <c r="E32" s="226" t="s">
        <v>975</v>
      </c>
      <c r="F32" s="223" t="s">
        <v>519</v>
      </c>
    </row>
    <row r="33" spans="1:6" x14ac:dyDescent="0.2">
      <c r="A33" s="131" t="s">
        <v>974</v>
      </c>
      <c r="B33" s="227" t="s">
        <v>973</v>
      </c>
      <c r="C33" s="227" t="s">
        <v>972</v>
      </c>
      <c r="D33" s="131"/>
      <c r="E33" s="226"/>
    </row>
    <row r="34" spans="1:6" ht="25.5" x14ac:dyDescent="0.2">
      <c r="A34" s="131" t="s">
        <v>971</v>
      </c>
      <c r="B34" s="227" t="s">
        <v>970</v>
      </c>
      <c r="C34" s="227" t="s">
        <v>969</v>
      </c>
      <c r="D34" s="131"/>
      <c r="E34" s="226"/>
    </row>
    <row r="35" spans="1:6" ht="25.5" x14ac:dyDescent="0.2">
      <c r="A35" s="131" t="s">
        <v>968</v>
      </c>
      <c r="B35" s="227" t="s">
        <v>967</v>
      </c>
      <c r="C35" s="227" t="s">
        <v>966</v>
      </c>
      <c r="D35" s="131" t="s">
        <v>521</v>
      </c>
      <c r="E35" s="226" t="s">
        <v>965</v>
      </c>
      <c r="F35" s="223" t="s">
        <v>519</v>
      </c>
    </row>
    <row r="36" spans="1:6" ht="25.5" x14ac:dyDescent="0.2">
      <c r="A36" s="131" t="s">
        <v>964</v>
      </c>
      <c r="B36" s="227" t="s">
        <v>960</v>
      </c>
      <c r="C36" s="227" t="s">
        <v>963</v>
      </c>
      <c r="D36" s="131" t="s">
        <v>521</v>
      </c>
      <c r="E36" s="226" t="s">
        <v>962</v>
      </c>
      <c r="F36" s="223" t="s">
        <v>519</v>
      </c>
    </row>
    <row r="37" spans="1:6" ht="25.5" x14ac:dyDescent="0.2">
      <c r="A37" s="131" t="s">
        <v>961</v>
      </c>
      <c r="B37" s="227" t="s">
        <v>960</v>
      </c>
      <c r="C37" s="227" t="s">
        <v>959</v>
      </c>
      <c r="D37" s="131" t="s">
        <v>521</v>
      </c>
      <c r="E37" s="226" t="s">
        <v>958</v>
      </c>
      <c r="F37" s="223" t="s">
        <v>519</v>
      </c>
    </row>
    <row r="38" spans="1:6" ht="25.5" x14ac:dyDescent="0.2">
      <c r="A38" s="131" t="s">
        <v>957</v>
      </c>
      <c r="B38" s="227" t="s">
        <v>956</v>
      </c>
      <c r="C38" s="227" t="s">
        <v>955</v>
      </c>
      <c r="D38" s="131"/>
      <c r="E38" s="226"/>
    </row>
    <row r="39" spans="1:6" ht="25.5" x14ac:dyDescent="0.2">
      <c r="A39" s="131" t="s">
        <v>954</v>
      </c>
      <c r="B39" s="227" t="s">
        <v>953</v>
      </c>
      <c r="C39" s="227" t="s">
        <v>952</v>
      </c>
      <c r="D39" s="131" t="s">
        <v>521</v>
      </c>
      <c r="E39" s="226" t="s">
        <v>951</v>
      </c>
      <c r="F39" s="223" t="s">
        <v>519</v>
      </c>
    </row>
    <row r="40" spans="1:6" ht="25.5" x14ac:dyDescent="0.2">
      <c r="A40" s="131" t="s">
        <v>950</v>
      </c>
      <c r="B40" s="227" t="s">
        <v>949</v>
      </c>
      <c r="C40" s="227" t="s">
        <v>948</v>
      </c>
      <c r="D40" s="131" t="s">
        <v>521</v>
      </c>
      <c r="E40" s="226" t="s">
        <v>947</v>
      </c>
      <c r="F40" s="223" t="s">
        <v>519</v>
      </c>
    </row>
    <row r="41" spans="1:6" x14ac:dyDescent="0.2">
      <c r="A41" s="131" t="s">
        <v>946</v>
      </c>
      <c r="B41" s="227" t="s">
        <v>945</v>
      </c>
      <c r="C41" s="227" t="s">
        <v>944</v>
      </c>
      <c r="D41" s="131"/>
      <c r="F41" s="223" t="s">
        <v>519</v>
      </c>
    </row>
    <row r="42" spans="1:6" ht="25.5" x14ac:dyDescent="0.2">
      <c r="A42" s="131" t="s">
        <v>943</v>
      </c>
      <c r="B42" s="227" t="s">
        <v>942</v>
      </c>
      <c r="C42" s="227" t="s">
        <v>941</v>
      </c>
      <c r="D42" s="131" t="s">
        <v>521</v>
      </c>
      <c r="E42" s="226" t="s">
        <v>940</v>
      </c>
      <c r="F42" s="223" t="s">
        <v>519</v>
      </c>
    </row>
    <row r="43" spans="1:6" x14ac:dyDescent="0.2">
      <c r="A43" s="229" t="s">
        <v>939</v>
      </c>
      <c r="B43" s="230" t="s">
        <v>938</v>
      </c>
      <c r="C43" s="230"/>
      <c r="D43" s="229"/>
      <c r="E43" s="226"/>
    </row>
    <row r="44" spans="1:6" ht="25.5" x14ac:dyDescent="0.2">
      <c r="A44" s="229" t="s">
        <v>937</v>
      </c>
      <c r="B44" s="230" t="s">
        <v>936</v>
      </c>
      <c r="C44" s="230" t="s">
        <v>935</v>
      </c>
      <c r="D44" s="229"/>
      <c r="E44" s="226"/>
    </row>
    <row r="45" spans="1:6" ht="40.5" customHeight="1" x14ac:dyDescent="0.2">
      <c r="A45" s="131" t="s">
        <v>934</v>
      </c>
      <c r="B45" s="227" t="s">
        <v>933</v>
      </c>
      <c r="C45" s="227" t="s">
        <v>932</v>
      </c>
      <c r="D45" s="131" t="s">
        <v>521</v>
      </c>
      <c r="E45" s="226" t="s">
        <v>931</v>
      </c>
      <c r="F45" s="223" t="s">
        <v>519</v>
      </c>
    </row>
    <row r="46" spans="1:6" ht="25.5" x14ac:dyDescent="0.2">
      <c r="A46" s="131" t="s">
        <v>930</v>
      </c>
      <c r="B46" s="227" t="s">
        <v>929</v>
      </c>
      <c r="C46" s="227" t="s">
        <v>928</v>
      </c>
      <c r="D46" s="131" t="s">
        <v>521</v>
      </c>
      <c r="E46" s="226" t="s">
        <v>927</v>
      </c>
      <c r="F46" s="223" t="s">
        <v>519</v>
      </c>
    </row>
    <row r="47" spans="1:6" x14ac:dyDescent="0.2">
      <c r="A47" s="229" t="s">
        <v>926</v>
      </c>
      <c r="B47" s="230" t="s">
        <v>925</v>
      </c>
      <c r="C47" s="230" t="s">
        <v>924</v>
      </c>
      <c r="D47" s="229"/>
      <c r="E47" s="226"/>
    </row>
    <row r="48" spans="1:6" ht="25.5" x14ac:dyDescent="0.2">
      <c r="A48" s="131" t="s">
        <v>923</v>
      </c>
      <c r="B48" s="227" t="s">
        <v>922</v>
      </c>
      <c r="C48" s="227" t="s">
        <v>921</v>
      </c>
      <c r="D48" s="131"/>
      <c r="E48" s="226"/>
      <c r="F48" s="223" t="s">
        <v>519</v>
      </c>
    </row>
    <row r="49" spans="1:6" ht="25.5" x14ac:dyDescent="0.2">
      <c r="A49" s="131" t="s">
        <v>920</v>
      </c>
      <c r="B49" s="227" t="s">
        <v>919</v>
      </c>
      <c r="C49" s="227" t="s">
        <v>918</v>
      </c>
      <c r="D49" s="131" t="s">
        <v>521</v>
      </c>
      <c r="E49" s="226" t="s">
        <v>917</v>
      </c>
      <c r="F49" s="223" t="s">
        <v>519</v>
      </c>
    </row>
    <row r="50" spans="1:6" ht="25.5" x14ac:dyDescent="0.2">
      <c r="A50" s="131" t="s">
        <v>916</v>
      </c>
      <c r="B50" s="227" t="s">
        <v>915</v>
      </c>
      <c r="C50" s="227" t="s">
        <v>914</v>
      </c>
      <c r="D50" s="131"/>
      <c r="E50" s="226"/>
    </row>
    <row r="51" spans="1:6" ht="29.25" customHeight="1" x14ac:dyDescent="0.2">
      <c r="A51" s="131" t="s">
        <v>913</v>
      </c>
      <c r="B51" s="227" t="s">
        <v>912</v>
      </c>
      <c r="C51" s="227" t="s">
        <v>911</v>
      </c>
      <c r="D51" s="131"/>
      <c r="E51" s="226"/>
    </row>
    <row r="52" spans="1:6" ht="25.5" x14ac:dyDescent="0.2">
      <c r="A52" s="131" t="s">
        <v>910</v>
      </c>
      <c r="B52" s="227" t="s">
        <v>909</v>
      </c>
      <c r="C52" s="227" t="s">
        <v>908</v>
      </c>
      <c r="D52" s="131" t="s">
        <v>521</v>
      </c>
      <c r="E52" s="226" t="s">
        <v>907</v>
      </c>
      <c r="F52" s="223" t="s">
        <v>519</v>
      </c>
    </row>
    <row r="53" spans="1:6" x14ac:dyDescent="0.2">
      <c r="A53" s="229" t="s">
        <v>906</v>
      </c>
      <c r="B53" s="230" t="s">
        <v>905</v>
      </c>
      <c r="C53" s="230" t="s">
        <v>904</v>
      </c>
      <c r="D53" s="229" t="s">
        <v>521</v>
      </c>
      <c r="E53" s="234" t="s">
        <v>903</v>
      </c>
    </row>
    <row r="54" spans="1:6" ht="25.5" x14ac:dyDescent="0.2">
      <c r="A54" s="131" t="s">
        <v>902</v>
      </c>
      <c r="B54" s="227" t="s">
        <v>901</v>
      </c>
      <c r="C54" s="227" t="s">
        <v>900</v>
      </c>
      <c r="D54" s="131"/>
      <c r="E54" s="226"/>
    </row>
    <row r="55" spans="1:6" ht="18" customHeight="1" x14ac:dyDescent="0.2">
      <c r="A55" s="131" t="s">
        <v>899</v>
      </c>
      <c r="B55" s="227" t="s">
        <v>898</v>
      </c>
      <c r="C55" s="227" t="s">
        <v>897</v>
      </c>
      <c r="D55" s="131" t="s">
        <v>521</v>
      </c>
      <c r="E55" s="226" t="s">
        <v>896</v>
      </c>
      <c r="F55" s="223" t="s">
        <v>519</v>
      </c>
    </row>
    <row r="56" spans="1:6" ht="14.25" customHeight="1" x14ac:dyDescent="0.2">
      <c r="A56" s="131" t="s">
        <v>895</v>
      </c>
      <c r="B56" s="227" t="s">
        <v>894</v>
      </c>
      <c r="C56" s="231" t="s">
        <v>893</v>
      </c>
      <c r="D56" s="232" t="s">
        <v>521</v>
      </c>
      <c r="E56" s="226" t="s">
        <v>892</v>
      </c>
      <c r="F56" s="223" t="s">
        <v>519</v>
      </c>
    </row>
    <row r="57" spans="1:6" ht="25.5" x14ac:dyDescent="0.2">
      <c r="A57" s="131" t="s">
        <v>891</v>
      </c>
      <c r="B57" s="227" t="s">
        <v>890</v>
      </c>
      <c r="C57" s="227" t="s">
        <v>889</v>
      </c>
      <c r="D57" s="131" t="s">
        <v>521</v>
      </c>
      <c r="E57" s="226" t="s">
        <v>888</v>
      </c>
    </row>
    <row r="58" spans="1:6" x14ac:dyDescent="0.2">
      <c r="A58" s="131" t="s">
        <v>887</v>
      </c>
      <c r="B58" s="227" t="s">
        <v>886</v>
      </c>
      <c r="C58" s="227" t="s">
        <v>885</v>
      </c>
      <c r="D58" s="131" t="s">
        <v>521</v>
      </c>
      <c r="E58" s="226" t="s">
        <v>884</v>
      </c>
    </row>
    <row r="59" spans="1:6" ht="29.25" customHeight="1" x14ac:dyDescent="0.2">
      <c r="A59" s="131" t="s">
        <v>883</v>
      </c>
      <c r="B59" s="227" t="s">
        <v>882</v>
      </c>
      <c r="C59" s="227" t="s">
        <v>881</v>
      </c>
      <c r="D59" s="131"/>
      <c r="E59" s="226"/>
    </row>
    <row r="60" spans="1:6" ht="25.5" x14ac:dyDescent="0.2">
      <c r="A60" s="131" t="s">
        <v>880</v>
      </c>
      <c r="B60" s="227" t="s">
        <v>879</v>
      </c>
      <c r="C60" s="227" t="s">
        <v>878</v>
      </c>
      <c r="D60" s="131" t="s">
        <v>521</v>
      </c>
      <c r="E60" s="226" t="s">
        <v>877</v>
      </c>
      <c r="F60" s="223" t="s">
        <v>519</v>
      </c>
    </row>
    <row r="61" spans="1:6" x14ac:dyDescent="0.2">
      <c r="A61" s="229" t="s">
        <v>876</v>
      </c>
      <c r="B61" s="230" t="s">
        <v>875</v>
      </c>
      <c r="C61" s="230"/>
      <c r="D61" s="229"/>
      <c r="E61" s="226"/>
    </row>
    <row r="62" spans="1:6" ht="14.25" customHeight="1" x14ac:dyDescent="0.2">
      <c r="A62" s="241"/>
      <c r="B62" s="240"/>
      <c r="C62" s="239" t="s">
        <v>874</v>
      </c>
      <c r="D62" s="238"/>
      <c r="E62" s="226"/>
    </row>
    <row r="63" spans="1:6" x14ac:dyDescent="0.2">
      <c r="A63" s="229" t="s">
        <v>873</v>
      </c>
      <c r="B63" s="230" t="s">
        <v>872</v>
      </c>
      <c r="C63" s="230"/>
      <c r="D63" s="229"/>
      <c r="E63" s="226"/>
    </row>
    <row r="64" spans="1:6" ht="25.5" x14ac:dyDescent="0.2">
      <c r="A64" s="131" t="s">
        <v>871</v>
      </c>
      <c r="B64" s="227" t="s">
        <v>870</v>
      </c>
      <c r="C64" s="227" t="s">
        <v>869</v>
      </c>
      <c r="D64" s="131"/>
      <c r="E64" s="226"/>
    </row>
    <row r="65" spans="1:6" ht="25.5" x14ac:dyDescent="0.2">
      <c r="A65" s="131" t="s">
        <v>868</v>
      </c>
      <c r="B65" s="227" t="s">
        <v>867</v>
      </c>
      <c r="C65" s="227" t="s">
        <v>866</v>
      </c>
      <c r="D65" s="131"/>
      <c r="E65" s="226"/>
    </row>
    <row r="66" spans="1:6" x14ac:dyDescent="0.2">
      <c r="A66" s="229" t="s">
        <v>865</v>
      </c>
      <c r="B66" s="230" t="s">
        <v>864</v>
      </c>
      <c r="C66" s="230"/>
      <c r="D66" s="229"/>
      <c r="E66" s="226"/>
    </row>
    <row r="67" spans="1:6" ht="25.5" x14ac:dyDescent="0.2">
      <c r="A67" s="229" t="s">
        <v>863</v>
      </c>
      <c r="B67" s="230" t="s">
        <v>862</v>
      </c>
      <c r="C67" s="230" t="s">
        <v>861</v>
      </c>
      <c r="D67" s="229"/>
      <c r="E67" s="226"/>
    </row>
    <row r="68" spans="1:6" ht="25.5" x14ac:dyDescent="0.2">
      <c r="A68" s="131" t="s">
        <v>860</v>
      </c>
      <c r="B68" s="227" t="s">
        <v>859</v>
      </c>
      <c r="C68" s="227" t="s">
        <v>858</v>
      </c>
      <c r="D68" s="131" t="s">
        <v>521</v>
      </c>
      <c r="E68" s="226" t="s">
        <v>857</v>
      </c>
    </row>
    <row r="69" spans="1:6" ht="25.5" x14ac:dyDescent="0.2">
      <c r="A69" s="131" t="s">
        <v>856</v>
      </c>
      <c r="B69" s="227" t="s">
        <v>855</v>
      </c>
      <c r="C69" s="227" t="s">
        <v>854</v>
      </c>
      <c r="D69" s="131" t="s">
        <v>521</v>
      </c>
      <c r="E69" s="226" t="s">
        <v>853</v>
      </c>
      <c r="F69" s="223" t="s">
        <v>519</v>
      </c>
    </row>
    <row r="70" spans="1:6" ht="25.5" x14ac:dyDescent="0.2">
      <c r="A70" s="131" t="s">
        <v>852</v>
      </c>
      <c r="B70" s="227" t="s">
        <v>851</v>
      </c>
      <c r="C70" s="227" t="s">
        <v>850</v>
      </c>
      <c r="D70" s="131" t="s">
        <v>521</v>
      </c>
      <c r="E70" s="226" t="s">
        <v>849</v>
      </c>
    </row>
    <row r="71" spans="1:6" ht="25.5" x14ac:dyDescent="0.2">
      <c r="A71" s="131" t="s">
        <v>848</v>
      </c>
      <c r="B71" s="227" t="s">
        <v>847</v>
      </c>
      <c r="C71" s="227" t="s">
        <v>846</v>
      </c>
      <c r="D71" s="131" t="s">
        <v>521</v>
      </c>
      <c r="E71" s="226" t="s">
        <v>845</v>
      </c>
    </row>
    <row r="72" spans="1:6" x14ac:dyDescent="0.2">
      <c r="A72" s="131" t="s">
        <v>844</v>
      </c>
      <c r="B72" s="227" t="s">
        <v>843</v>
      </c>
      <c r="C72" s="227" t="s">
        <v>842</v>
      </c>
      <c r="D72" s="131" t="s">
        <v>521</v>
      </c>
      <c r="E72" s="226" t="s">
        <v>841</v>
      </c>
      <c r="F72" s="223" t="s">
        <v>519</v>
      </c>
    </row>
    <row r="73" spans="1:6" ht="25.5" x14ac:dyDescent="0.2">
      <c r="A73" s="131" t="s">
        <v>840</v>
      </c>
      <c r="B73" s="227" t="s">
        <v>839</v>
      </c>
      <c r="C73" s="231" t="s">
        <v>838</v>
      </c>
      <c r="D73" s="232"/>
      <c r="E73" s="226"/>
    </row>
    <row r="74" spans="1:6" x14ac:dyDescent="0.2">
      <c r="A74" s="237" t="s">
        <v>837</v>
      </c>
      <c r="B74" s="236" t="s">
        <v>836</v>
      </c>
      <c r="C74" s="227" t="s">
        <v>835</v>
      </c>
      <c r="D74" s="131"/>
      <c r="E74" s="226"/>
    </row>
    <row r="75" spans="1:6" ht="25.5" x14ac:dyDescent="0.2">
      <c r="A75" s="131" t="s">
        <v>834</v>
      </c>
      <c r="B75" s="227" t="s">
        <v>833</v>
      </c>
      <c r="C75" s="227" t="s">
        <v>832</v>
      </c>
      <c r="D75" s="131" t="s">
        <v>521</v>
      </c>
      <c r="E75" s="226" t="s">
        <v>831</v>
      </c>
      <c r="F75" s="223" t="s">
        <v>519</v>
      </c>
    </row>
    <row r="76" spans="1:6" x14ac:dyDescent="0.2">
      <c r="A76" s="131" t="s">
        <v>830</v>
      </c>
      <c r="B76" s="227" t="s">
        <v>829</v>
      </c>
      <c r="C76" s="227" t="s">
        <v>828</v>
      </c>
      <c r="D76" s="131" t="s">
        <v>521</v>
      </c>
      <c r="E76" s="226" t="s">
        <v>827</v>
      </c>
    </row>
    <row r="77" spans="1:6" ht="25.5" x14ac:dyDescent="0.2">
      <c r="A77" s="131" t="s">
        <v>826</v>
      </c>
      <c r="B77" s="227" t="s">
        <v>825</v>
      </c>
      <c r="C77" s="227" t="s">
        <v>824</v>
      </c>
      <c r="D77" s="131" t="s">
        <v>521</v>
      </c>
      <c r="E77" s="226" t="s">
        <v>823</v>
      </c>
      <c r="F77" s="223" t="s">
        <v>519</v>
      </c>
    </row>
    <row r="78" spans="1:6" x14ac:dyDescent="0.2">
      <c r="A78" s="131" t="s">
        <v>822</v>
      </c>
      <c r="B78" s="227" t="s">
        <v>821</v>
      </c>
      <c r="C78" s="227" t="s">
        <v>820</v>
      </c>
      <c r="D78" s="131" t="s">
        <v>521</v>
      </c>
      <c r="E78" s="226" t="s">
        <v>819</v>
      </c>
      <c r="F78" s="223" t="s">
        <v>519</v>
      </c>
    </row>
    <row r="79" spans="1:6" x14ac:dyDescent="0.2">
      <c r="A79" s="131" t="s">
        <v>818</v>
      </c>
      <c r="B79" s="227" t="s">
        <v>817</v>
      </c>
      <c r="C79" s="227" t="s">
        <v>816</v>
      </c>
      <c r="D79" s="131" t="s">
        <v>521</v>
      </c>
      <c r="E79" s="226" t="s">
        <v>815</v>
      </c>
    </row>
    <row r="80" spans="1:6" ht="25.5" x14ac:dyDescent="0.2">
      <c r="A80" s="131" t="s">
        <v>814</v>
      </c>
      <c r="B80" s="227" t="s">
        <v>813</v>
      </c>
      <c r="C80" s="227" t="s">
        <v>812</v>
      </c>
      <c r="D80" s="131" t="s">
        <v>521</v>
      </c>
      <c r="E80" s="226" t="s">
        <v>811</v>
      </c>
      <c r="F80" s="223" t="s">
        <v>519</v>
      </c>
    </row>
    <row r="81" spans="1:6" ht="25.5" x14ac:dyDescent="0.2">
      <c r="A81" s="131" t="s">
        <v>810</v>
      </c>
      <c r="B81" s="227" t="s">
        <v>809</v>
      </c>
      <c r="C81" s="227" t="s">
        <v>808</v>
      </c>
      <c r="D81" s="131" t="s">
        <v>521</v>
      </c>
      <c r="E81" s="226" t="s">
        <v>807</v>
      </c>
    </row>
    <row r="82" spans="1:6" x14ac:dyDescent="0.2">
      <c r="A82" s="131" t="s">
        <v>806</v>
      </c>
      <c r="B82" s="227" t="s">
        <v>805</v>
      </c>
      <c r="C82" s="227" t="s">
        <v>804</v>
      </c>
      <c r="D82" s="131" t="s">
        <v>521</v>
      </c>
      <c r="E82" s="226" t="s">
        <v>803</v>
      </c>
      <c r="F82" s="223" t="s">
        <v>519</v>
      </c>
    </row>
    <row r="83" spans="1:6" ht="25.5" x14ac:dyDescent="0.2">
      <c r="A83" s="131" t="s">
        <v>802</v>
      </c>
      <c r="B83" s="227" t="s">
        <v>801</v>
      </c>
      <c r="C83" s="227" t="s">
        <v>800</v>
      </c>
      <c r="D83" s="131" t="s">
        <v>521</v>
      </c>
      <c r="E83" s="226" t="s">
        <v>799</v>
      </c>
    </row>
    <row r="84" spans="1:6" ht="18.75" customHeight="1" x14ac:dyDescent="0.2">
      <c r="A84" s="229" t="s">
        <v>798</v>
      </c>
      <c r="B84" s="230" t="s">
        <v>797</v>
      </c>
      <c r="C84" s="230"/>
      <c r="D84" s="229"/>
      <c r="E84" s="226" t="s">
        <v>796</v>
      </c>
    </row>
    <row r="85" spans="1:6" ht="29.25" customHeight="1" x14ac:dyDescent="0.2">
      <c r="A85" s="229" t="s">
        <v>795</v>
      </c>
      <c r="B85" s="230" t="s">
        <v>794</v>
      </c>
      <c r="C85" s="235" t="s">
        <v>793</v>
      </c>
      <c r="D85" s="229"/>
      <c r="E85" s="234" t="s">
        <v>792</v>
      </c>
    </row>
    <row r="86" spans="1:6" ht="25.5" x14ac:dyDescent="0.2">
      <c r="A86" s="131" t="s">
        <v>791</v>
      </c>
      <c r="B86" s="227" t="s">
        <v>790</v>
      </c>
      <c r="C86" s="227" t="s">
        <v>789</v>
      </c>
      <c r="D86" s="131" t="s">
        <v>521</v>
      </c>
      <c r="E86" s="226" t="s">
        <v>788</v>
      </c>
      <c r="F86" s="223" t="s">
        <v>519</v>
      </c>
    </row>
    <row r="87" spans="1:6" ht="25.5" x14ac:dyDescent="0.2">
      <c r="A87" s="131" t="s">
        <v>787</v>
      </c>
      <c r="B87" s="227" t="s">
        <v>786</v>
      </c>
      <c r="C87" s="227" t="s">
        <v>785</v>
      </c>
      <c r="D87" s="131" t="s">
        <v>521</v>
      </c>
      <c r="E87" s="226" t="s">
        <v>784</v>
      </c>
      <c r="F87" s="223" t="s">
        <v>519</v>
      </c>
    </row>
    <row r="88" spans="1:6" ht="25.5" x14ac:dyDescent="0.2">
      <c r="A88" s="131" t="s">
        <v>783</v>
      </c>
      <c r="B88" s="227" t="s">
        <v>782</v>
      </c>
      <c r="C88" s="227" t="s">
        <v>781</v>
      </c>
      <c r="D88" s="131" t="s">
        <v>521</v>
      </c>
      <c r="E88" s="226" t="s">
        <v>780</v>
      </c>
      <c r="F88" s="223" t="s">
        <v>519</v>
      </c>
    </row>
    <row r="89" spans="1:6" ht="25.5" x14ac:dyDescent="0.2">
      <c r="A89" s="131" t="s">
        <v>779</v>
      </c>
      <c r="B89" s="227" t="s">
        <v>778</v>
      </c>
      <c r="C89" s="227" t="s">
        <v>777</v>
      </c>
      <c r="D89" s="131" t="s">
        <v>521</v>
      </c>
      <c r="E89" s="226" t="s">
        <v>776</v>
      </c>
    </row>
    <row r="90" spans="1:6" ht="40.5" customHeight="1" x14ac:dyDescent="0.2">
      <c r="A90" s="229" t="s">
        <v>775</v>
      </c>
      <c r="B90" s="230" t="s">
        <v>774</v>
      </c>
      <c r="C90" s="230" t="s">
        <v>773</v>
      </c>
      <c r="D90" s="229" t="s">
        <v>521</v>
      </c>
      <c r="E90" s="226" t="s">
        <v>772</v>
      </c>
    </row>
    <row r="91" spans="1:6" ht="25.5" x14ac:dyDescent="0.2">
      <c r="A91" s="131" t="s">
        <v>771</v>
      </c>
      <c r="B91" s="227" t="s">
        <v>770</v>
      </c>
      <c r="C91" s="227" t="s">
        <v>769</v>
      </c>
      <c r="D91" s="131" t="s">
        <v>521</v>
      </c>
      <c r="E91" s="226" t="s">
        <v>768</v>
      </c>
      <c r="F91" s="223" t="s">
        <v>519</v>
      </c>
    </row>
    <row r="92" spans="1:6" x14ac:dyDescent="0.2">
      <c r="A92" s="229" t="s">
        <v>767</v>
      </c>
      <c r="B92" s="230" t="s">
        <v>766</v>
      </c>
      <c r="C92" s="230" t="s">
        <v>765</v>
      </c>
      <c r="D92" s="229" t="s">
        <v>521</v>
      </c>
      <c r="E92" s="226" t="s">
        <v>764</v>
      </c>
      <c r="F92" s="223" t="s">
        <v>519</v>
      </c>
    </row>
    <row r="93" spans="1:6" ht="25.5" x14ac:dyDescent="0.2">
      <c r="A93" s="131" t="s">
        <v>763</v>
      </c>
      <c r="B93" s="227" t="s">
        <v>762</v>
      </c>
      <c r="C93" s="227" t="s">
        <v>761</v>
      </c>
      <c r="D93" s="131" t="s">
        <v>521</v>
      </c>
      <c r="E93" s="226" t="s">
        <v>760</v>
      </c>
      <c r="F93" s="223" t="s">
        <v>519</v>
      </c>
    </row>
    <row r="94" spans="1:6" x14ac:dyDescent="0.2">
      <c r="A94" s="229" t="s">
        <v>759</v>
      </c>
      <c r="B94" s="230" t="s">
        <v>758</v>
      </c>
      <c r="C94" s="230" t="s">
        <v>757</v>
      </c>
      <c r="D94" s="229"/>
      <c r="E94" s="226" t="s">
        <v>756</v>
      </c>
    </row>
    <row r="95" spans="1:6" ht="25.5" x14ac:dyDescent="0.2">
      <c r="A95" s="131" t="s">
        <v>755</v>
      </c>
      <c r="B95" s="227" t="s">
        <v>754</v>
      </c>
      <c r="C95" s="227" t="s">
        <v>753</v>
      </c>
      <c r="D95" s="131" t="s">
        <v>521</v>
      </c>
      <c r="E95" s="226" t="s">
        <v>752</v>
      </c>
      <c r="F95" s="223" t="s">
        <v>519</v>
      </c>
    </row>
    <row r="96" spans="1:6" x14ac:dyDescent="0.2">
      <c r="A96" s="131" t="s">
        <v>751</v>
      </c>
      <c r="B96" s="227" t="s">
        <v>750</v>
      </c>
      <c r="C96" s="227" t="s">
        <v>749</v>
      </c>
      <c r="D96" s="131" t="s">
        <v>521</v>
      </c>
      <c r="E96" s="226" t="s">
        <v>748</v>
      </c>
    </row>
    <row r="97" spans="1:6" ht="25.5" x14ac:dyDescent="0.2">
      <c r="A97" s="131" t="s">
        <v>747</v>
      </c>
      <c r="B97" s="227" t="s">
        <v>746</v>
      </c>
      <c r="C97" s="227" t="s">
        <v>745</v>
      </c>
      <c r="D97" s="131" t="s">
        <v>744</v>
      </c>
      <c r="E97" s="226" t="s">
        <v>743</v>
      </c>
    </row>
    <row r="98" spans="1:6" ht="25.5" x14ac:dyDescent="0.2">
      <c r="A98" s="131" t="s">
        <v>742</v>
      </c>
      <c r="B98" s="227" t="s">
        <v>741</v>
      </c>
      <c r="C98" s="227" t="s">
        <v>740</v>
      </c>
      <c r="D98" s="131" t="s">
        <v>521</v>
      </c>
      <c r="E98" s="226" t="s">
        <v>739</v>
      </c>
      <c r="F98" s="223" t="s">
        <v>519</v>
      </c>
    </row>
    <row r="99" spans="1:6" x14ac:dyDescent="0.2">
      <c r="A99" s="229" t="s">
        <v>738</v>
      </c>
      <c r="B99" s="230" t="s">
        <v>737</v>
      </c>
      <c r="C99" s="230" t="s">
        <v>736</v>
      </c>
      <c r="D99" s="229"/>
      <c r="E99" s="226"/>
    </row>
    <row r="100" spans="1:6" ht="25.5" x14ac:dyDescent="0.2">
      <c r="A100" s="131" t="s">
        <v>735</v>
      </c>
      <c r="B100" s="227" t="s">
        <v>734</v>
      </c>
      <c r="C100" s="227" t="s">
        <v>733</v>
      </c>
      <c r="D100" s="131" t="s">
        <v>521</v>
      </c>
      <c r="E100" s="226" t="s">
        <v>732</v>
      </c>
      <c r="F100" s="223" t="s">
        <v>519</v>
      </c>
    </row>
    <row r="101" spans="1:6" x14ac:dyDescent="0.2">
      <c r="A101" s="229" t="s">
        <v>731</v>
      </c>
      <c r="B101" s="230" t="s">
        <v>730</v>
      </c>
      <c r="C101" s="230" t="s">
        <v>729</v>
      </c>
      <c r="D101" s="229"/>
      <c r="E101" s="226"/>
    </row>
    <row r="102" spans="1:6" ht="25.5" x14ac:dyDescent="0.2">
      <c r="A102" s="131" t="s">
        <v>728</v>
      </c>
      <c r="B102" s="227" t="s">
        <v>727</v>
      </c>
      <c r="C102" s="227" t="s">
        <v>726</v>
      </c>
      <c r="D102" s="131" t="s">
        <v>521</v>
      </c>
      <c r="E102" s="226" t="s">
        <v>725</v>
      </c>
      <c r="F102" s="223" t="s">
        <v>519</v>
      </c>
    </row>
    <row r="103" spans="1:6" ht="25.5" x14ac:dyDescent="0.2">
      <c r="A103" s="131" t="s">
        <v>724</v>
      </c>
      <c r="B103" s="227" t="s">
        <v>723</v>
      </c>
      <c r="C103" s="227" t="s">
        <v>722</v>
      </c>
      <c r="D103" s="131"/>
      <c r="E103" s="226" t="s">
        <v>721</v>
      </c>
      <c r="F103" s="223" t="s">
        <v>519</v>
      </c>
    </row>
    <row r="104" spans="1:6" ht="25.5" x14ac:dyDescent="0.2">
      <c r="A104" s="229" t="s">
        <v>720</v>
      </c>
      <c r="B104" s="230" t="s">
        <v>719</v>
      </c>
      <c r="C104" s="230" t="s">
        <v>718</v>
      </c>
      <c r="D104" s="229"/>
      <c r="E104" s="226"/>
    </row>
    <row r="105" spans="1:6" ht="25.5" x14ac:dyDescent="0.2">
      <c r="A105" s="131" t="s">
        <v>717</v>
      </c>
      <c r="B105" s="227" t="s">
        <v>716</v>
      </c>
      <c r="C105" s="227" t="s">
        <v>715</v>
      </c>
      <c r="D105" s="131"/>
      <c r="E105" s="226"/>
    </row>
    <row r="106" spans="1:6" x14ac:dyDescent="0.2">
      <c r="A106" s="229" t="s">
        <v>714</v>
      </c>
      <c r="B106" s="230" t="s">
        <v>713</v>
      </c>
      <c r="C106" s="230"/>
      <c r="D106" s="229"/>
      <c r="E106" s="226"/>
    </row>
    <row r="107" spans="1:6" x14ac:dyDescent="0.2">
      <c r="A107" s="229" t="s">
        <v>712</v>
      </c>
      <c r="B107" s="230" t="s">
        <v>711</v>
      </c>
      <c r="C107" s="230" t="s">
        <v>710</v>
      </c>
      <c r="D107" s="229"/>
      <c r="E107" s="226"/>
    </row>
    <row r="108" spans="1:6" x14ac:dyDescent="0.2">
      <c r="A108" s="131" t="s">
        <v>709</v>
      </c>
      <c r="B108" s="227" t="s">
        <v>708</v>
      </c>
      <c r="C108" s="227" t="s">
        <v>707</v>
      </c>
      <c r="D108" s="131" t="s">
        <v>521</v>
      </c>
      <c r="E108" s="226" t="s">
        <v>706</v>
      </c>
      <c r="F108" s="223" t="s">
        <v>519</v>
      </c>
    </row>
    <row r="109" spans="1:6" ht="25.5" x14ac:dyDescent="0.2">
      <c r="A109" s="131" t="s">
        <v>705</v>
      </c>
      <c r="B109" s="227" t="s">
        <v>704</v>
      </c>
      <c r="C109" s="231" t="s">
        <v>703</v>
      </c>
      <c r="D109" s="131" t="s">
        <v>521</v>
      </c>
      <c r="E109" s="226" t="s">
        <v>702</v>
      </c>
    </row>
    <row r="110" spans="1:6" x14ac:dyDescent="0.2">
      <c r="A110" s="131" t="s">
        <v>701</v>
      </c>
      <c r="B110" s="227" t="s">
        <v>700</v>
      </c>
      <c r="C110" s="227" t="s">
        <v>699</v>
      </c>
      <c r="D110" s="131" t="s">
        <v>521</v>
      </c>
      <c r="E110" s="226" t="s">
        <v>698</v>
      </c>
    </row>
    <row r="111" spans="1:6" ht="25.5" x14ac:dyDescent="0.2">
      <c r="A111" s="131" t="s">
        <v>697</v>
      </c>
      <c r="B111" s="227" t="s">
        <v>696</v>
      </c>
      <c r="C111" s="227" t="s">
        <v>695</v>
      </c>
      <c r="D111" s="131" t="s">
        <v>521</v>
      </c>
      <c r="E111" s="226" t="s">
        <v>694</v>
      </c>
      <c r="F111" s="223" t="s">
        <v>519</v>
      </c>
    </row>
    <row r="112" spans="1:6" ht="25.5" x14ac:dyDescent="0.2">
      <c r="A112" s="131" t="s">
        <v>693</v>
      </c>
      <c r="B112" s="227" t="s">
        <v>692</v>
      </c>
      <c r="C112" s="227" t="s">
        <v>691</v>
      </c>
      <c r="D112" s="131"/>
      <c r="E112" s="226"/>
    </row>
    <row r="113" spans="1:6" ht="25.5" x14ac:dyDescent="0.2">
      <c r="A113" s="131" t="s">
        <v>690</v>
      </c>
      <c r="B113" s="227" t="s">
        <v>689</v>
      </c>
      <c r="C113" s="227" t="s">
        <v>688</v>
      </c>
      <c r="D113" s="131" t="s">
        <v>521</v>
      </c>
      <c r="E113" s="226" t="s">
        <v>687</v>
      </c>
      <c r="F113" s="223" t="s">
        <v>519</v>
      </c>
    </row>
    <row r="114" spans="1:6" x14ac:dyDescent="0.2">
      <c r="A114" s="131" t="s">
        <v>686</v>
      </c>
      <c r="B114" s="227" t="s">
        <v>685</v>
      </c>
      <c r="C114" s="227" t="s">
        <v>684</v>
      </c>
      <c r="D114" s="131" t="s">
        <v>521</v>
      </c>
      <c r="E114" s="226" t="s">
        <v>683</v>
      </c>
      <c r="F114" s="223" t="s">
        <v>519</v>
      </c>
    </row>
    <row r="115" spans="1:6" ht="25.5" x14ac:dyDescent="0.2">
      <c r="A115" s="131" t="s">
        <v>682</v>
      </c>
      <c r="B115" s="227" t="s">
        <v>681</v>
      </c>
      <c r="C115" s="227" t="s">
        <v>680</v>
      </c>
      <c r="D115" s="131" t="s">
        <v>521</v>
      </c>
      <c r="E115" s="226" t="s">
        <v>679</v>
      </c>
      <c r="F115" s="223" t="s">
        <v>519</v>
      </c>
    </row>
    <row r="116" spans="1:6" ht="25.5" x14ac:dyDescent="0.2">
      <c r="A116" s="229" t="s">
        <v>678</v>
      </c>
      <c r="B116" s="230" t="s">
        <v>677</v>
      </c>
      <c r="C116" s="230"/>
      <c r="D116" s="229"/>
      <c r="E116" s="226"/>
    </row>
    <row r="117" spans="1:6" ht="25.5" x14ac:dyDescent="0.2">
      <c r="A117" s="229" t="s">
        <v>674</v>
      </c>
      <c r="B117" s="230" t="s">
        <v>676</v>
      </c>
      <c r="C117" s="233" t="s">
        <v>675</v>
      </c>
      <c r="D117" s="229"/>
      <c r="E117" s="226"/>
    </row>
    <row r="118" spans="1:6" ht="25.5" x14ac:dyDescent="0.2">
      <c r="A118" s="131" t="s">
        <v>674</v>
      </c>
      <c r="B118" s="227" t="s">
        <v>673</v>
      </c>
      <c r="C118" s="227" t="s">
        <v>672</v>
      </c>
      <c r="D118" s="131" t="s">
        <v>521</v>
      </c>
      <c r="E118" s="226" t="s">
        <v>671</v>
      </c>
    </row>
    <row r="119" spans="1:6" ht="25.5" x14ac:dyDescent="0.2">
      <c r="A119" s="131" t="s">
        <v>670</v>
      </c>
      <c r="B119" s="228" t="s">
        <v>669</v>
      </c>
      <c r="C119" s="228" t="s">
        <v>668</v>
      </c>
      <c r="D119" s="131"/>
      <c r="E119" s="226"/>
    </row>
    <row r="120" spans="1:6" ht="38.25" x14ac:dyDescent="0.2">
      <c r="A120" s="131" t="s">
        <v>667</v>
      </c>
      <c r="B120" s="227" t="s">
        <v>666</v>
      </c>
      <c r="C120" s="227" t="s">
        <v>665</v>
      </c>
      <c r="D120" s="131"/>
      <c r="E120" s="226"/>
    </row>
    <row r="121" spans="1:6" ht="25.5" x14ac:dyDescent="0.2">
      <c r="A121" s="229" t="s">
        <v>664</v>
      </c>
      <c r="B121" s="230" t="s">
        <v>663</v>
      </c>
      <c r="C121" s="230" t="s">
        <v>662</v>
      </c>
      <c r="D121" s="229"/>
      <c r="E121" s="226"/>
    </row>
    <row r="122" spans="1:6" ht="25.5" x14ac:dyDescent="0.2">
      <c r="A122" s="131" t="s">
        <v>661</v>
      </c>
      <c r="B122" s="227" t="s">
        <v>660</v>
      </c>
      <c r="C122" s="227" t="s">
        <v>659</v>
      </c>
      <c r="D122" s="131"/>
      <c r="E122" s="226"/>
    </row>
    <row r="123" spans="1:6" ht="25.5" x14ac:dyDescent="0.2">
      <c r="A123" s="131" t="s">
        <v>658</v>
      </c>
      <c r="B123" s="227" t="s">
        <v>657</v>
      </c>
      <c r="C123" s="227" t="s">
        <v>656</v>
      </c>
      <c r="D123" s="131"/>
      <c r="E123" s="226"/>
    </row>
    <row r="124" spans="1:6" ht="27.75" customHeight="1" x14ac:dyDescent="0.2">
      <c r="A124" s="131" t="s">
        <v>655</v>
      </c>
      <c r="B124" s="227" t="s">
        <v>654</v>
      </c>
      <c r="C124" s="227" t="s">
        <v>653</v>
      </c>
      <c r="D124" s="131"/>
      <c r="E124" s="226"/>
    </row>
    <row r="125" spans="1:6" ht="25.5" x14ac:dyDescent="0.2">
      <c r="A125" s="131" t="s">
        <v>652</v>
      </c>
      <c r="B125" s="227" t="s">
        <v>651</v>
      </c>
      <c r="C125" s="227" t="s">
        <v>650</v>
      </c>
      <c r="D125" s="131"/>
      <c r="E125" s="226"/>
    </row>
    <row r="126" spans="1:6" ht="25.5" x14ac:dyDescent="0.2">
      <c r="A126" s="131" t="s">
        <v>649</v>
      </c>
      <c r="B126" s="227" t="s">
        <v>648</v>
      </c>
      <c r="C126" s="227" t="s">
        <v>647</v>
      </c>
      <c r="D126" s="131"/>
      <c r="E126" s="226"/>
    </row>
    <row r="127" spans="1:6" ht="25.5" x14ac:dyDescent="0.2">
      <c r="A127" s="131" t="s">
        <v>646</v>
      </c>
      <c r="B127" s="227" t="s">
        <v>645</v>
      </c>
      <c r="C127" s="227" t="s">
        <v>644</v>
      </c>
      <c r="D127" s="131"/>
      <c r="E127" s="226"/>
    </row>
    <row r="128" spans="1:6" x14ac:dyDescent="0.2">
      <c r="A128" s="131" t="s">
        <v>643</v>
      </c>
      <c r="B128" s="227" t="s">
        <v>642</v>
      </c>
      <c r="C128" s="227" t="s">
        <v>641</v>
      </c>
      <c r="D128" s="131"/>
      <c r="E128" s="226"/>
    </row>
    <row r="129" spans="1:6" ht="25.5" x14ac:dyDescent="0.2">
      <c r="A129" s="131" t="s">
        <v>640</v>
      </c>
      <c r="B129" s="227" t="s">
        <v>639</v>
      </c>
      <c r="C129" s="227" t="s">
        <v>638</v>
      </c>
      <c r="D129" s="131" t="s">
        <v>521</v>
      </c>
      <c r="E129" s="226" t="s">
        <v>637</v>
      </c>
      <c r="F129" s="223" t="s">
        <v>519</v>
      </c>
    </row>
    <row r="130" spans="1:6" ht="25.5" x14ac:dyDescent="0.2">
      <c r="A130" s="131" t="s">
        <v>636</v>
      </c>
      <c r="B130" s="227" t="s">
        <v>635</v>
      </c>
      <c r="C130" s="227" t="s">
        <v>634</v>
      </c>
      <c r="D130" s="131" t="s">
        <v>521</v>
      </c>
      <c r="E130" s="226" t="s">
        <v>633</v>
      </c>
      <c r="F130" s="223" t="s">
        <v>519</v>
      </c>
    </row>
    <row r="131" spans="1:6" x14ac:dyDescent="0.2">
      <c r="A131" s="229" t="s">
        <v>632</v>
      </c>
      <c r="B131" s="230" t="s">
        <v>631</v>
      </c>
      <c r="C131" s="230" t="s">
        <v>630</v>
      </c>
      <c r="D131" s="229"/>
      <c r="E131" s="226"/>
    </row>
    <row r="132" spans="1:6" ht="18" customHeight="1" x14ac:dyDescent="0.2">
      <c r="A132" s="131" t="s">
        <v>629</v>
      </c>
      <c r="B132" s="227" t="s">
        <v>628</v>
      </c>
      <c r="C132" s="227" t="s">
        <v>627</v>
      </c>
      <c r="D132" s="131"/>
      <c r="E132" s="226"/>
    </row>
    <row r="133" spans="1:6" x14ac:dyDescent="0.2">
      <c r="A133" s="229" t="s">
        <v>626</v>
      </c>
      <c r="B133" s="230" t="s">
        <v>625</v>
      </c>
      <c r="C133" s="230"/>
      <c r="D133" s="229"/>
      <c r="E133" s="226"/>
    </row>
    <row r="134" spans="1:6" ht="29.25" customHeight="1" x14ac:dyDescent="0.2">
      <c r="A134" s="229" t="s">
        <v>624</v>
      </c>
      <c r="B134" s="230" t="s">
        <v>623</v>
      </c>
      <c r="C134" s="230" t="s">
        <v>622</v>
      </c>
      <c r="D134" s="229"/>
      <c r="E134" s="226"/>
    </row>
    <row r="135" spans="1:6" ht="25.5" x14ac:dyDescent="0.2">
      <c r="A135" s="131" t="s">
        <v>621</v>
      </c>
      <c r="B135" s="231" t="s">
        <v>620</v>
      </c>
      <c r="C135" s="227" t="s">
        <v>619</v>
      </c>
      <c r="D135" s="131"/>
      <c r="E135" s="226"/>
    </row>
    <row r="136" spans="1:6" ht="25.5" x14ac:dyDescent="0.2">
      <c r="A136" s="131" t="s">
        <v>618</v>
      </c>
      <c r="B136" s="227" t="s">
        <v>617</v>
      </c>
      <c r="C136" s="231" t="s">
        <v>616</v>
      </c>
      <c r="D136" s="232"/>
      <c r="E136" s="226"/>
    </row>
    <row r="137" spans="1:6" ht="27" customHeight="1" x14ac:dyDescent="0.2">
      <c r="A137" s="131" t="s">
        <v>615</v>
      </c>
      <c r="B137" s="227" t="s">
        <v>614</v>
      </c>
      <c r="C137" s="227" t="s">
        <v>613</v>
      </c>
      <c r="D137" s="131"/>
      <c r="E137" s="226"/>
    </row>
    <row r="138" spans="1:6" ht="25.5" x14ac:dyDescent="0.2">
      <c r="A138" s="229" t="s">
        <v>612</v>
      </c>
      <c r="B138" s="230" t="s">
        <v>611</v>
      </c>
      <c r="C138" s="230" t="s">
        <v>610</v>
      </c>
      <c r="D138" s="229"/>
      <c r="E138" s="226"/>
    </row>
    <row r="139" spans="1:6" ht="25.5" x14ac:dyDescent="0.2">
      <c r="A139" s="131" t="s">
        <v>609</v>
      </c>
      <c r="B139" s="227" t="s">
        <v>608</v>
      </c>
      <c r="C139" s="227" t="s">
        <v>607</v>
      </c>
      <c r="D139" s="131" t="s">
        <v>521</v>
      </c>
      <c r="E139" s="226" t="s">
        <v>606</v>
      </c>
      <c r="F139" s="223" t="s">
        <v>519</v>
      </c>
    </row>
    <row r="140" spans="1:6" ht="38.25" x14ac:dyDescent="0.2">
      <c r="A140" s="131" t="s">
        <v>605</v>
      </c>
      <c r="B140" s="227" t="s">
        <v>604</v>
      </c>
      <c r="C140" s="227" t="s">
        <v>603</v>
      </c>
      <c r="D140" s="131"/>
      <c r="E140" s="226"/>
    </row>
    <row r="141" spans="1:6" ht="25.5" x14ac:dyDescent="0.2">
      <c r="A141" s="131" t="s">
        <v>602</v>
      </c>
      <c r="B141" s="227" t="s">
        <v>601</v>
      </c>
      <c r="C141" s="227"/>
      <c r="D141" s="131"/>
      <c r="E141" s="226"/>
    </row>
    <row r="142" spans="1:6" ht="25.5" x14ac:dyDescent="0.2">
      <c r="A142" s="131" t="s">
        <v>600</v>
      </c>
      <c r="B142" s="227" t="s">
        <v>599</v>
      </c>
      <c r="C142" s="227" t="s">
        <v>598</v>
      </c>
      <c r="D142" s="131"/>
      <c r="E142" s="226"/>
    </row>
    <row r="143" spans="1:6" ht="25.5" x14ac:dyDescent="0.2">
      <c r="A143" s="131" t="s">
        <v>597</v>
      </c>
      <c r="B143" s="227" t="s">
        <v>596</v>
      </c>
      <c r="C143" s="227" t="s">
        <v>595</v>
      </c>
      <c r="D143" s="131"/>
      <c r="E143" s="226"/>
    </row>
    <row r="144" spans="1:6" ht="25.5" x14ac:dyDescent="0.2">
      <c r="A144" s="131" t="s">
        <v>594</v>
      </c>
      <c r="B144" s="227" t="s">
        <v>593</v>
      </c>
      <c r="C144" s="227" t="s">
        <v>592</v>
      </c>
      <c r="D144" s="131" t="s">
        <v>521</v>
      </c>
      <c r="E144" s="226" t="s">
        <v>591</v>
      </c>
      <c r="F144" s="223" t="s">
        <v>519</v>
      </c>
    </row>
    <row r="145" spans="1:6" ht="25.5" x14ac:dyDescent="0.2">
      <c r="A145" s="131" t="s">
        <v>590</v>
      </c>
      <c r="B145" s="227" t="s">
        <v>589</v>
      </c>
      <c r="C145" s="227" t="s">
        <v>588</v>
      </c>
      <c r="D145" s="131" t="s">
        <v>521</v>
      </c>
      <c r="E145" s="226" t="s">
        <v>587</v>
      </c>
      <c r="F145" s="223" t="s">
        <v>519</v>
      </c>
    </row>
    <row r="146" spans="1:6" ht="36.75" customHeight="1" x14ac:dyDescent="0.2">
      <c r="A146" s="131" t="s">
        <v>586</v>
      </c>
      <c r="B146" s="231" t="s">
        <v>585</v>
      </c>
      <c r="C146" s="227" t="s">
        <v>584</v>
      </c>
      <c r="D146" s="131" t="s">
        <v>521</v>
      </c>
      <c r="E146" s="226" t="s">
        <v>583</v>
      </c>
      <c r="F146" s="223" t="s">
        <v>519</v>
      </c>
    </row>
    <row r="147" spans="1:6" ht="25.5" x14ac:dyDescent="0.2">
      <c r="A147" s="131" t="s">
        <v>582</v>
      </c>
      <c r="B147" s="227" t="s">
        <v>581</v>
      </c>
      <c r="C147" s="227" t="s">
        <v>580</v>
      </c>
      <c r="D147" s="131" t="s">
        <v>521</v>
      </c>
      <c r="E147" s="226" t="s">
        <v>579</v>
      </c>
      <c r="F147" s="223" t="s">
        <v>519</v>
      </c>
    </row>
    <row r="148" spans="1:6" ht="25.5" x14ac:dyDescent="0.2">
      <c r="A148" s="131" t="s">
        <v>578</v>
      </c>
      <c r="B148" s="227" t="s">
        <v>577</v>
      </c>
      <c r="C148" s="227" t="s">
        <v>576</v>
      </c>
      <c r="D148" s="131"/>
      <c r="E148" s="226"/>
    </row>
    <row r="149" spans="1:6" ht="25.5" x14ac:dyDescent="0.2">
      <c r="A149" s="131" t="s">
        <v>575</v>
      </c>
      <c r="B149" s="227" t="s">
        <v>574</v>
      </c>
      <c r="C149" s="227" t="s">
        <v>573</v>
      </c>
      <c r="D149" s="131"/>
      <c r="E149" s="226"/>
    </row>
    <row r="150" spans="1:6" ht="38.25" x14ac:dyDescent="0.2">
      <c r="A150" s="229" t="s">
        <v>572</v>
      </c>
      <c r="B150" s="230" t="s">
        <v>571</v>
      </c>
      <c r="C150" s="230"/>
      <c r="D150" s="229"/>
      <c r="E150" s="226"/>
    </row>
    <row r="151" spans="1:6" ht="25.5" x14ac:dyDescent="0.2">
      <c r="A151" s="229" t="s">
        <v>570</v>
      </c>
      <c r="B151" s="230" t="s">
        <v>569</v>
      </c>
      <c r="C151" s="230" t="s">
        <v>568</v>
      </c>
      <c r="D151" s="229"/>
      <c r="E151" s="226"/>
    </row>
    <row r="152" spans="1:6" ht="25.5" x14ac:dyDescent="0.2">
      <c r="A152" s="131" t="s">
        <v>567</v>
      </c>
      <c r="B152" s="227" t="s">
        <v>566</v>
      </c>
      <c r="C152" s="227" t="s">
        <v>565</v>
      </c>
      <c r="D152" s="131"/>
      <c r="E152" s="226"/>
    </row>
    <row r="153" spans="1:6" ht="25.5" x14ac:dyDescent="0.2">
      <c r="A153" s="131" t="s">
        <v>564</v>
      </c>
      <c r="B153" s="227" t="s">
        <v>563</v>
      </c>
      <c r="C153" s="227" t="s">
        <v>562</v>
      </c>
      <c r="D153" s="131"/>
      <c r="E153" s="226"/>
    </row>
    <row r="154" spans="1:6" ht="38.25" x14ac:dyDescent="0.2">
      <c r="A154" s="131" t="s">
        <v>561</v>
      </c>
      <c r="B154" s="227" t="s">
        <v>560</v>
      </c>
      <c r="C154" s="227" t="s">
        <v>559</v>
      </c>
      <c r="D154" s="131"/>
      <c r="E154" s="226"/>
    </row>
    <row r="155" spans="1:6" x14ac:dyDescent="0.2">
      <c r="A155" s="131" t="s">
        <v>558</v>
      </c>
      <c r="B155" s="227" t="s">
        <v>557</v>
      </c>
      <c r="C155" s="227" t="s">
        <v>556</v>
      </c>
      <c r="D155" s="131"/>
      <c r="E155" s="226"/>
    </row>
    <row r="156" spans="1:6" ht="25.5" x14ac:dyDescent="0.2">
      <c r="A156" s="131" t="s">
        <v>555</v>
      </c>
      <c r="B156" s="227" t="s">
        <v>554</v>
      </c>
      <c r="C156" s="227" t="s">
        <v>553</v>
      </c>
      <c r="D156" s="131"/>
      <c r="E156" s="226"/>
    </row>
    <row r="157" spans="1:6" x14ac:dyDescent="0.2">
      <c r="A157" s="131" t="s">
        <v>552</v>
      </c>
      <c r="B157" s="227" t="s">
        <v>261</v>
      </c>
      <c r="C157" s="227"/>
      <c r="D157" s="131"/>
      <c r="E157" s="226"/>
    </row>
    <row r="158" spans="1:6" ht="25.5" x14ac:dyDescent="0.2">
      <c r="A158" s="131" t="s">
        <v>551</v>
      </c>
      <c r="B158" s="227" t="s">
        <v>550</v>
      </c>
      <c r="C158" s="227" t="s">
        <v>549</v>
      </c>
      <c r="D158" s="131"/>
      <c r="E158" s="226"/>
    </row>
    <row r="159" spans="1:6" ht="25.5" x14ac:dyDescent="0.2">
      <c r="A159" s="131" t="s">
        <v>548</v>
      </c>
      <c r="B159" s="227" t="s">
        <v>547</v>
      </c>
      <c r="C159" s="227" t="s">
        <v>546</v>
      </c>
      <c r="D159" s="131"/>
      <c r="E159" s="226"/>
    </row>
    <row r="160" spans="1:6" ht="25.5" x14ac:dyDescent="0.2">
      <c r="A160" s="131" t="s">
        <v>545</v>
      </c>
      <c r="B160" s="227" t="s">
        <v>544</v>
      </c>
      <c r="C160" s="227" t="s">
        <v>543</v>
      </c>
      <c r="D160" s="131"/>
      <c r="E160" s="226"/>
    </row>
    <row r="161" spans="1:6" ht="25.5" x14ac:dyDescent="0.2">
      <c r="A161" s="131" t="s">
        <v>542</v>
      </c>
      <c r="B161" s="227" t="s">
        <v>541</v>
      </c>
      <c r="C161" s="227" t="s">
        <v>540</v>
      </c>
      <c r="D161" s="131"/>
      <c r="E161" s="226"/>
    </row>
    <row r="162" spans="1:6" ht="25.5" x14ac:dyDescent="0.2">
      <c r="A162" s="131" t="s">
        <v>539</v>
      </c>
      <c r="B162" s="227" t="s">
        <v>538</v>
      </c>
      <c r="C162" s="227" t="s">
        <v>537</v>
      </c>
      <c r="D162" s="131"/>
      <c r="E162" s="226"/>
    </row>
    <row r="163" spans="1:6" ht="25.5" x14ac:dyDescent="0.2">
      <c r="A163" s="131" t="s">
        <v>536</v>
      </c>
      <c r="B163" s="227" t="s">
        <v>535</v>
      </c>
      <c r="C163" s="227" t="s">
        <v>534</v>
      </c>
      <c r="D163" s="131"/>
      <c r="E163" s="226"/>
    </row>
    <row r="164" spans="1:6" ht="25.5" x14ac:dyDescent="0.2">
      <c r="A164" s="131" t="s">
        <v>533</v>
      </c>
      <c r="B164" s="227" t="s">
        <v>532</v>
      </c>
      <c r="C164" s="227" t="s">
        <v>531</v>
      </c>
      <c r="D164" s="131"/>
      <c r="E164" s="226"/>
    </row>
    <row r="165" spans="1:6" ht="38.25" x14ac:dyDescent="0.2">
      <c r="A165" s="131" t="s">
        <v>530</v>
      </c>
      <c r="B165" s="227" t="s">
        <v>529</v>
      </c>
      <c r="C165" s="227" t="s">
        <v>528</v>
      </c>
      <c r="D165" s="131"/>
      <c r="E165" s="226"/>
    </row>
    <row r="166" spans="1:6" ht="25.5" x14ac:dyDescent="0.2">
      <c r="A166" s="131" t="s">
        <v>527</v>
      </c>
      <c r="B166" s="228" t="s">
        <v>526</v>
      </c>
      <c r="C166" s="227" t="s">
        <v>525</v>
      </c>
      <c r="D166" s="131"/>
      <c r="E166" s="226"/>
    </row>
    <row r="167" spans="1:6" ht="25.5" x14ac:dyDescent="0.2">
      <c r="A167" s="131" t="s">
        <v>524</v>
      </c>
      <c r="B167" s="227" t="s">
        <v>523</v>
      </c>
      <c r="C167" s="227" t="s">
        <v>522</v>
      </c>
      <c r="D167" s="131" t="s">
        <v>521</v>
      </c>
      <c r="E167" s="226" t="s">
        <v>520</v>
      </c>
      <c r="F167" s="223" t="s">
        <v>519</v>
      </c>
    </row>
  </sheetData>
  <sheetProtection algorithmName="SHA-512" hashValue="2k637hQdphD3fiNxXSrPgKmzzaEfeOUtqDNX/g5cVuQfbtLgM9Ndqkl5XLkqKRLDlmHkfAMHcK9cT7W73tLmqw==" saltValue="/HgvhQOejxTyevQlDNWM8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 zoomScale="110" zoomScaleNormal="110" workbookViewId="0">
      <selection activeCell="I35" sqref="I35"/>
    </sheetView>
  </sheetViews>
  <sheetFormatPr baseColWidth="10" defaultRowHeight="15" x14ac:dyDescent="0.25"/>
  <cols>
    <col min="1" max="1" width="2.855468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501" t="s">
        <v>146</v>
      </c>
      <c r="C2" s="502"/>
      <c r="D2" s="502"/>
      <c r="E2" s="502"/>
      <c r="F2" s="502"/>
      <c r="G2" s="502"/>
      <c r="H2" s="503"/>
    </row>
    <row r="3" spans="2:8" x14ac:dyDescent="0.25">
      <c r="B3" s="76"/>
      <c r="C3" s="77"/>
      <c r="D3" s="77"/>
      <c r="E3" s="77"/>
      <c r="F3" s="77"/>
      <c r="G3" s="77"/>
      <c r="H3" s="78"/>
    </row>
    <row r="4" spans="2:8" ht="63" customHeight="1" x14ac:dyDescent="0.25">
      <c r="B4" s="504" t="s">
        <v>189</v>
      </c>
      <c r="C4" s="505"/>
      <c r="D4" s="505"/>
      <c r="E4" s="505"/>
      <c r="F4" s="505"/>
      <c r="G4" s="505"/>
      <c r="H4" s="506"/>
    </row>
    <row r="5" spans="2:8" ht="63" customHeight="1" x14ac:dyDescent="0.25">
      <c r="B5" s="507"/>
      <c r="C5" s="508"/>
      <c r="D5" s="508"/>
      <c r="E5" s="508"/>
      <c r="F5" s="508"/>
      <c r="G5" s="508"/>
      <c r="H5" s="509"/>
    </row>
    <row r="6" spans="2:8" ht="16.5" x14ac:dyDescent="0.25">
      <c r="B6" s="510" t="s">
        <v>144</v>
      </c>
      <c r="C6" s="511"/>
      <c r="D6" s="511"/>
      <c r="E6" s="511"/>
      <c r="F6" s="511"/>
      <c r="G6" s="511"/>
      <c r="H6" s="512"/>
    </row>
    <row r="7" spans="2:8" ht="95.25" customHeight="1" x14ac:dyDescent="0.25">
      <c r="B7" s="520" t="s">
        <v>149</v>
      </c>
      <c r="C7" s="521"/>
      <c r="D7" s="521"/>
      <c r="E7" s="521"/>
      <c r="F7" s="521"/>
      <c r="G7" s="521"/>
      <c r="H7" s="522"/>
    </row>
    <row r="8" spans="2:8" ht="16.5" x14ac:dyDescent="0.25">
      <c r="B8" s="113"/>
      <c r="C8" s="114"/>
      <c r="D8" s="114"/>
      <c r="E8" s="114"/>
      <c r="F8" s="114"/>
      <c r="G8" s="114"/>
      <c r="H8" s="115"/>
    </row>
    <row r="9" spans="2:8" ht="16.5" customHeight="1" x14ac:dyDescent="0.25">
      <c r="B9" s="513" t="s">
        <v>182</v>
      </c>
      <c r="C9" s="514"/>
      <c r="D9" s="514"/>
      <c r="E9" s="514"/>
      <c r="F9" s="514"/>
      <c r="G9" s="514"/>
      <c r="H9" s="515"/>
    </row>
    <row r="10" spans="2:8" ht="44.25" customHeight="1" x14ac:dyDescent="0.25">
      <c r="B10" s="513"/>
      <c r="C10" s="514"/>
      <c r="D10" s="514"/>
      <c r="E10" s="514"/>
      <c r="F10" s="514"/>
      <c r="G10" s="514"/>
      <c r="H10" s="515"/>
    </row>
    <row r="11" spans="2:8" ht="15.75" thickBot="1" x14ac:dyDescent="0.3">
      <c r="B11" s="101"/>
      <c r="C11" s="104"/>
      <c r="D11" s="109"/>
      <c r="E11" s="110"/>
      <c r="F11" s="110"/>
      <c r="G11" s="111"/>
      <c r="H11" s="112"/>
    </row>
    <row r="12" spans="2:8" ht="15.75" thickTop="1" x14ac:dyDescent="0.25">
      <c r="B12" s="101"/>
      <c r="C12" s="516" t="s">
        <v>145</v>
      </c>
      <c r="D12" s="517"/>
      <c r="E12" s="518" t="s">
        <v>183</v>
      </c>
      <c r="F12" s="519"/>
      <c r="G12" s="104"/>
      <c r="H12" s="105"/>
    </row>
    <row r="13" spans="2:8" ht="35.25" customHeight="1" x14ac:dyDescent="0.25">
      <c r="B13" s="101"/>
      <c r="C13" s="488" t="s">
        <v>176</v>
      </c>
      <c r="D13" s="489"/>
      <c r="E13" s="490" t="s">
        <v>181</v>
      </c>
      <c r="F13" s="491"/>
      <c r="G13" s="104"/>
      <c r="H13" s="105"/>
    </row>
    <row r="14" spans="2:8" ht="17.25" customHeight="1" x14ac:dyDescent="0.25">
      <c r="B14" s="101"/>
      <c r="C14" s="488" t="s">
        <v>177</v>
      </c>
      <c r="D14" s="489"/>
      <c r="E14" s="490" t="s">
        <v>179</v>
      </c>
      <c r="F14" s="491"/>
      <c r="G14" s="104"/>
      <c r="H14" s="105"/>
    </row>
    <row r="15" spans="2:8" ht="19.5" customHeight="1" x14ac:dyDescent="0.25">
      <c r="B15" s="101"/>
      <c r="C15" s="488" t="s">
        <v>178</v>
      </c>
      <c r="D15" s="489"/>
      <c r="E15" s="490" t="s">
        <v>180</v>
      </c>
      <c r="F15" s="491"/>
      <c r="G15" s="104"/>
      <c r="H15" s="105"/>
    </row>
    <row r="16" spans="2:8" ht="69.75" customHeight="1" x14ac:dyDescent="0.25">
      <c r="B16" s="101"/>
      <c r="C16" s="488" t="s">
        <v>147</v>
      </c>
      <c r="D16" s="489"/>
      <c r="E16" s="490" t="s">
        <v>148</v>
      </c>
      <c r="F16" s="491"/>
      <c r="G16" s="104"/>
      <c r="H16" s="105"/>
    </row>
    <row r="17" spans="2:8" ht="34.5" customHeight="1" x14ac:dyDescent="0.25">
      <c r="B17" s="101"/>
      <c r="C17" s="492" t="s">
        <v>1</v>
      </c>
      <c r="D17" s="493"/>
      <c r="E17" s="484" t="s">
        <v>190</v>
      </c>
      <c r="F17" s="485"/>
      <c r="G17" s="104"/>
      <c r="H17" s="105"/>
    </row>
    <row r="18" spans="2:8" ht="27.75" customHeight="1" x14ac:dyDescent="0.25">
      <c r="B18" s="101"/>
      <c r="C18" s="492" t="s">
        <v>2</v>
      </c>
      <c r="D18" s="493"/>
      <c r="E18" s="484" t="s">
        <v>191</v>
      </c>
      <c r="F18" s="485"/>
      <c r="G18" s="104"/>
      <c r="H18" s="105"/>
    </row>
    <row r="19" spans="2:8" ht="28.5" customHeight="1" x14ac:dyDescent="0.25">
      <c r="B19" s="101"/>
      <c r="C19" s="492" t="s">
        <v>35</v>
      </c>
      <c r="D19" s="493"/>
      <c r="E19" s="484" t="s">
        <v>192</v>
      </c>
      <c r="F19" s="485"/>
      <c r="G19" s="104"/>
      <c r="H19" s="105"/>
    </row>
    <row r="20" spans="2:8" ht="72.75" customHeight="1" x14ac:dyDescent="0.25">
      <c r="B20" s="101"/>
      <c r="C20" s="492" t="s">
        <v>0</v>
      </c>
      <c r="D20" s="493"/>
      <c r="E20" s="484" t="s">
        <v>193</v>
      </c>
      <c r="F20" s="485"/>
      <c r="G20" s="104"/>
      <c r="H20" s="105"/>
    </row>
    <row r="21" spans="2:8" ht="64.5" customHeight="1" x14ac:dyDescent="0.25">
      <c r="B21" s="101"/>
      <c r="C21" s="492" t="s">
        <v>40</v>
      </c>
      <c r="D21" s="493"/>
      <c r="E21" s="484" t="s">
        <v>151</v>
      </c>
      <c r="F21" s="485"/>
      <c r="G21" s="104"/>
      <c r="H21" s="105"/>
    </row>
    <row r="22" spans="2:8" ht="71.25" customHeight="1" x14ac:dyDescent="0.25">
      <c r="B22" s="101"/>
      <c r="C22" s="492" t="s">
        <v>150</v>
      </c>
      <c r="D22" s="493"/>
      <c r="E22" s="484" t="s">
        <v>152</v>
      </c>
      <c r="F22" s="485"/>
      <c r="G22" s="104"/>
      <c r="H22" s="105"/>
    </row>
    <row r="23" spans="2:8" ht="55.5" customHeight="1" x14ac:dyDescent="0.25">
      <c r="B23" s="101"/>
      <c r="C23" s="486" t="s">
        <v>153</v>
      </c>
      <c r="D23" s="487"/>
      <c r="E23" s="484" t="s">
        <v>154</v>
      </c>
      <c r="F23" s="485"/>
      <c r="G23" s="104"/>
      <c r="H23" s="105"/>
    </row>
    <row r="24" spans="2:8" ht="42" customHeight="1" x14ac:dyDescent="0.25">
      <c r="B24" s="101"/>
      <c r="C24" s="486" t="s">
        <v>38</v>
      </c>
      <c r="D24" s="487"/>
      <c r="E24" s="484" t="s">
        <v>155</v>
      </c>
      <c r="F24" s="485"/>
      <c r="G24" s="104"/>
      <c r="H24" s="105"/>
    </row>
    <row r="25" spans="2:8" ht="59.25" customHeight="1" x14ac:dyDescent="0.25">
      <c r="B25" s="101"/>
      <c r="C25" s="486" t="s">
        <v>143</v>
      </c>
      <c r="D25" s="487"/>
      <c r="E25" s="484" t="s">
        <v>156</v>
      </c>
      <c r="F25" s="485"/>
      <c r="G25" s="104"/>
      <c r="H25" s="105"/>
    </row>
    <row r="26" spans="2:8" ht="23.25" customHeight="1" x14ac:dyDescent="0.25">
      <c r="B26" s="101"/>
      <c r="C26" s="486" t="s">
        <v>11</v>
      </c>
      <c r="D26" s="487"/>
      <c r="E26" s="484" t="s">
        <v>157</v>
      </c>
      <c r="F26" s="485"/>
      <c r="G26" s="104"/>
      <c r="H26" s="105"/>
    </row>
    <row r="27" spans="2:8" ht="30.75" customHeight="1" x14ac:dyDescent="0.25">
      <c r="B27" s="101"/>
      <c r="C27" s="486" t="s">
        <v>161</v>
      </c>
      <c r="D27" s="487"/>
      <c r="E27" s="484" t="s">
        <v>158</v>
      </c>
      <c r="F27" s="485"/>
      <c r="G27" s="104"/>
      <c r="H27" s="105"/>
    </row>
    <row r="28" spans="2:8" ht="35.25" customHeight="1" x14ac:dyDescent="0.25">
      <c r="B28" s="101"/>
      <c r="C28" s="486" t="s">
        <v>162</v>
      </c>
      <c r="D28" s="487"/>
      <c r="E28" s="484" t="s">
        <v>159</v>
      </c>
      <c r="F28" s="485"/>
      <c r="G28" s="104"/>
      <c r="H28" s="105"/>
    </row>
    <row r="29" spans="2:8" ht="33" customHeight="1" x14ac:dyDescent="0.25">
      <c r="B29" s="101"/>
      <c r="C29" s="486" t="s">
        <v>162</v>
      </c>
      <c r="D29" s="487"/>
      <c r="E29" s="484" t="s">
        <v>159</v>
      </c>
      <c r="F29" s="485"/>
      <c r="G29" s="104"/>
      <c r="H29" s="105"/>
    </row>
    <row r="30" spans="2:8" ht="30" customHeight="1" x14ac:dyDescent="0.25">
      <c r="B30" s="101"/>
      <c r="C30" s="486" t="s">
        <v>163</v>
      </c>
      <c r="D30" s="487"/>
      <c r="E30" s="484" t="s">
        <v>160</v>
      </c>
      <c r="F30" s="485"/>
      <c r="G30" s="104"/>
      <c r="H30" s="105"/>
    </row>
    <row r="31" spans="2:8" ht="35.25" customHeight="1" x14ac:dyDescent="0.25">
      <c r="B31" s="101"/>
      <c r="C31" s="486" t="s">
        <v>164</v>
      </c>
      <c r="D31" s="487"/>
      <c r="E31" s="484" t="s">
        <v>165</v>
      </c>
      <c r="F31" s="485"/>
      <c r="G31" s="104"/>
      <c r="H31" s="105"/>
    </row>
    <row r="32" spans="2:8" ht="31.5" customHeight="1" x14ac:dyDescent="0.25">
      <c r="B32" s="101"/>
      <c r="C32" s="486" t="s">
        <v>166</v>
      </c>
      <c r="D32" s="487"/>
      <c r="E32" s="484" t="s">
        <v>167</v>
      </c>
      <c r="F32" s="485"/>
      <c r="G32" s="104"/>
      <c r="H32" s="105"/>
    </row>
    <row r="33" spans="2:8" ht="35.25" customHeight="1" x14ac:dyDescent="0.25">
      <c r="B33" s="101"/>
      <c r="C33" s="486" t="s">
        <v>168</v>
      </c>
      <c r="D33" s="487"/>
      <c r="E33" s="484" t="s">
        <v>169</v>
      </c>
      <c r="F33" s="485"/>
      <c r="G33" s="104"/>
      <c r="H33" s="105"/>
    </row>
    <row r="34" spans="2:8" ht="59.25" customHeight="1" x14ac:dyDescent="0.25">
      <c r="B34" s="101"/>
      <c r="C34" s="486" t="s">
        <v>170</v>
      </c>
      <c r="D34" s="487"/>
      <c r="E34" s="484" t="s">
        <v>171</v>
      </c>
      <c r="F34" s="485"/>
      <c r="G34" s="104"/>
      <c r="H34" s="105"/>
    </row>
    <row r="35" spans="2:8" ht="29.25" customHeight="1" x14ac:dyDescent="0.25">
      <c r="B35" s="101"/>
      <c r="C35" s="486" t="s">
        <v>28</v>
      </c>
      <c r="D35" s="487"/>
      <c r="E35" s="484" t="s">
        <v>172</v>
      </c>
      <c r="F35" s="485"/>
      <c r="G35" s="104"/>
      <c r="H35" s="105"/>
    </row>
    <row r="36" spans="2:8" ht="82.5" customHeight="1" x14ac:dyDescent="0.25">
      <c r="B36" s="101"/>
      <c r="C36" s="486" t="s">
        <v>174</v>
      </c>
      <c r="D36" s="487"/>
      <c r="E36" s="484" t="s">
        <v>173</v>
      </c>
      <c r="F36" s="485"/>
      <c r="G36" s="104"/>
      <c r="H36" s="105"/>
    </row>
    <row r="37" spans="2:8" ht="46.5" customHeight="1" x14ac:dyDescent="0.25">
      <c r="B37" s="101"/>
      <c r="C37" s="486" t="s">
        <v>32</v>
      </c>
      <c r="D37" s="487"/>
      <c r="E37" s="484" t="s">
        <v>175</v>
      </c>
      <c r="F37" s="485"/>
      <c r="G37" s="104"/>
      <c r="H37" s="105"/>
    </row>
    <row r="38" spans="2:8" ht="6.75" customHeight="1" thickBot="1" x14ac:dyDescent="0.3">
      <c r="B38" s="101"/>
      <c r="C38" s="497"/>
      <c r="D38" s="498"/>
      <c r="E38" s="499"/>
      <c r="F38" s="500"/>
      <c r="G38" s="104"/>
      <c r="H38" s="105"/>
    </row>
    <row r="39" spans="2:8" ht="15.75" thickTop="1" x14ac:dyDescent="0.25">
      <c r="B39" s="101"/>
      <c r="C39" s="102"/>
      <c r="D39" s="102"/>
      <c r="E39" s="103"/>
      <c r="F39" s="103"/>
      <c r="G39" s="104"/>
      <c r="H39" s="105"/>
    </row>
    <row r="40" spans="2:8" ht="21" customHeight="1" x14ac:dyDescent="0.25">
      <c r="B40" s="494" t="s">
        <v>184</v>
      </c>
      <c r="C40" s="495"/>
      <c r="D40" s="495"/>
      <c r="E40" s="495"/>
      <c r="F40" s="495"/>
      <c r="G40" s="495"/>
      <c r="H40" s="496"/>
    </row>
    <row r="41" spans="2:8" ht="20.25" customHeight="1" x14ac:dyDescent="0.25">
      <c r="B41" s="494" t="s">
        <v>185</v>
      </c>
      <c r="C41" s="495"/>
      <c r="D41" s="495"/>
      <c r="E41" s="495"/>
      <c r="F41" s="495"/>
      <c r="G41" s="495"/>
      <c r="H41" s="496"/>
    </row>
    <row r="42" spans="2:8" ht="20.25" customHeight="1" x14ac:dyDescent="0.25">
      <c r="B42" s="494" t="s">
        <v>186</v>
      </c>
      <c r="C42" s="495"/>
      <c r="D42" s="495"/>
      <c r="E42" s="495"/>
      <c r="F42" s="495"/>
      <c r="G42" s="495"/>
      <c r="H42" s="496"/>
    </row>
    <row r="43" spans="2:8" ht="20.25" customHeight="1" x14ac:dyDescent="0.25">
      <c r="B43" s="494" t="s">
        <v>187</v>
      </c>
      <c r="C43" s="495"/>
      <c r="D43" s="495"/>
      <c r="E43" s="495"/>
      <c r="F43" s="495"/>
      <c r="G43" s="495"/>
      <c r="H43" s="496"/>
    </row>
    <row r="44" spans="2:8" x14ac:dyDescent="0.25">
      <c r="B44" s="494" t="s">
        <v>188</v>
      </c>
      <c r="C44" s="495"/>
      <c r="D44" s="495"/>
      <c r="E44" s="495"/>
      <c r="F44" s="495"/>
      <c r="G44" s="495"/>
      <c r="H44" s="496"/>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610" t="s">
        <v>141</v>
      </c>
      <c r="C2" s="610"/>
      <c r="D2" s="610"/>
      <c r="E2" s="610"/>
      <c r="F2" s="610"/>
      <c r="G2" s="610"/>
      <c r="H2" s="610"/>
      <c r="I2" s="610"/>
      <c r="J2" s="577" t="s">
        <v>1</v>
      </c>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610"/>
      <c r="C3" s="610"/>
      <c r="D3" s="610"/>
      <c r="E3" s="610"/>
      <c r="F3" s="610"/>
      <c r="G3" s="610"/>
      <c r="H3" s="610"/>
      <c r="I3" s="610"/>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610"/>
      <c r="C4" s="610"/>
      <c r="D4" s="610"/>
      <c r="E4" s="610"/>
      <c r="F4" s="610"/>
      <c r="G4" s="610"/>
      <c r="H4" s="610"/>
      <c r="I4" s="610"/>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77"/>
      <c r="AI4" s="577"/>
      <c r="AJ4" s="577"/>
      <c r="AK4" s="577"/>
      <c r="AL4" s="577"/>
      <c r="AM4" s="577"/>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523" t="s">
        <v>3</v>
      </c>
      <c r="C6" s="523"/>
      <c r="D6" s="524"/>
      <c r="E6" s="561" t="s">
        <v>105</v>
      </c>
      <c r="F6" s="562"/>
      <c r="G6" s="562"/>
      <c r="H6" s="562"/>
      <c r="I6" s="563"/>
      <c r="J6" s="573" t="str">
        <f>IF(AND('R. Seguridad de la Información'!$N$9="Muy Alta",'R. Seguridad de la Información'!$R$9="Leve"),CONCATENATE("R",'R. Seguridad de la Información'!$A$9),"")</f>
        <v/>
      </c>
      <c r="K6" s="574"/>
      <c r="L6" s="574" t="str">
        <f>IF(AND('R. Seguridad de la Información'!$N$15="Muy Alta",'R. Seguridad de la Información'!$R$15="Leve"),CONCATENATE("R",'R. Seguridad de la Información'!$A$15),"")</f>
        <v/>
      </c>
      <c r="M6" s="574"/>
      <c r="N6" s="574" t="str">
        <f>IF(AND('R. Seguridad de la Información'!$N$21="Muy Alta",'R. Seguridad de la Información'!$R$21="Leve"),CONCATENATE("R",'R. Seguridad de la Información'!$A$21),"")</f>
        <v/>
      </c>
      <c r="O6" s="576"/>
      <c r="P6" s="573" t="str">
        <f>IF(AND('R. Seguridad de la Información'!$N$9="Muy Alta",'R. Seguridad de la Información'!$R$9="Menor"),CONCATENATE("R",'R. Seguridad de la Información'!$A$9),"")</f>
        <v/>
      </c>
      <c r="Q6" s="574"/>
      <c r="R6" s="574" t="str">
        <f>IF(AND('R. Seguridad de la Información'!$N$15="Muy Alta",'R. Seguridad de la Información'!$R$15="Menor"),CONCATENATE("R",'R. Seguridad de la Información'!$A$15),"")</f>
        <v/>
      </c>
      <c r="S6" s="574"/>
      <c r="T6" s="574" t="str">
        <f>IF(AND('R. Seguridad de la Información'!$N$21="Muy Alta",'R. Seguridad de la Información'!$R$21="Menor"),CONCATENATE("R",'R. Seguridad de la Información'!$A$21),"")</f>
        <v/>
      </c>
      <c r="U6" s="576"/>
      <c r="V6" s="573" t="str">
        <f>IF(AND('R. Seguridad de la Información'!$N$9="Muy Alta",'R. Seguridad de la Información'!$R$9="Moderado"),CONCATENATE("R",'R. Seguridad de la Información'!$A$9),"")</f>
        <v/>
      </c>
      <c r="W6" s="574"/>
      <c r="X6" s="574" t="str">
        <f>IF(AND('R. Seguridad de la Información'!$N$15="Muy Alta",'R. Seguridad de la Información'!$R$15="Moderado"),CONCATENATE("R",'R. Seguridad de la Información'!$A$15),"")</f>
        <v/>
      </c>
      <c r="Y6" s="574"/>
      <c r="Z6" s="574" t="str">
        <f>IF(AND('R. Seguridad de la Información'!$N$21="Muy Alta",'R. Seguridad de la Información'!$R$21="Moderado"),CONCATENATE("R",'R. Seguridad de la Información'!$A$21),"")</f>
        <v/>
      </c>
      <c r="AA6" s="576"/>
      <c r="AB6" s="573" t="str">
        <f>IF(AND('R. Seguridad de la Información'!$N$9="Muy Alta",'R. Seguridad de la Información'!$R$9="Mayor"),CONCATENATE("R",'R. Seguridad de la Información'!$A$9),"")</f>
        <v/>
      </c>
      <c r="AC6" s="574"/>
      <c r="AD6" s="574" t="str">
        <f>IF(AND('R. Seguridad de la Información'!$N$15="Muy Alta",'R. Seguridad de la Información'!$R$15="Mayor"),CONCATENATE("R",'R. Seguridad de la Información'!$A$15),"")</f>
        <v/>
      </c>
      <c r="AE6" s="574"/>
      <c r="AF6" s="574" t="str">
        <f>IF(AND('R. Seguridad de la Información'!$N$21="Muy Alta",'R. Seguridad de la Información'!$R$21="Mayor"),CONCATENATE("R",'R. Seguridad de la Información'!$A$21),"")</f>
        <v/>
      </c>
      <c r="AG6" s="576"/>
      <c r="AH6" s="589" t="str">
        <f>IF(AND('R. Seguridad de la Información'!$N$9="Muy Alta",'R. Seguridad de la Información'!$R$9="Catastrófico"),CONCATENATE("R",'R. Seguridad de la Información'!$A$9),"")</f>
        <v/>
      </c>
      <c r="AI6" s="590"/>
      <c r="AJ6" s="590" t="str">
        <f>IF(AND('R. Seguridad de la Información'!$N$15="Muy Alta",'R. Seguridad de la Información'!$R$15="Catastrófico"),CONCATENATE("R",'R. Seguridad de la Información'!$A$15),"")</f>
        <v/>
      </c>
      <c r="AK6" s="590"/>
      <c r="AL6" s="590" t="str">
        <f>IF(AND('R. Seguridad de la Información'!$N$21="Muy Alta",'R. Seguridad de la Información'!$R$21="Catastrófico"),CONCATENATE("R",'R. Seguridad de la Información'!$A$21),"")</f>
        <v/>
      </c>
      <c r="AM6" s="591"/>
      <c r="AO6" s="525" t="s">
        <v>69</v>
      </c>
      <c r="AP6" s="526"/>
      <c r="AQ6" s="526"/>
      <c r="AR6" s="526"/>
      <c r="AS6" s="526"/>
      <c r="AT6" s="527"/>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523"/>
      <c r="C7" s="523"/>
      <c r="D7" s="524"/>
      <c r="E7" s="564"/>
      <c r="F7" s="565"/>
      <c r="G7" s="565"/>
      <c r="H7" s="565"/>
      <c r="I7" s="566"/>
      <c r="J7" s="575"/>
      <c r="K7" s="572"/>
      <c r="L7" s="572"/>
      <c r="M7" s="572"/>
      <c r="N7" s="572"/>
      <c r="O7" s="571"/>
      <c r="P7" s="575"/>
      <c r="Q7" s="572"/>
      <c r="R7" s="572"/>
      <c r="S7" s="572"/>
      <c r="T7" s="572"/>
      <c r="U7" s="571"/>
      <c r="V7" s="575"/>
      <c r="W7" s="572"/>
      <c r="X7" s="572"/>
      <c r="Y7" s="572"/>
      <c r="Z7" s="572"/>
      <c r="AA7" s="571"/>
      <c r="AB7" s="575"/>
      <c r="AC7" s="572"/>
      <c r="AD7" s="572"/>
      <c r="AE7" s="572"/>
      <c r="AF7" s="572"/>
      <c r="AG7" s="571"/>
      <c r="AH7" s="583"/>
      <c r="AI7" s="584"/>
      <c r="AJ7" s="584"/>
      <c r="AK7" s="584"/>
      <c r="AL7" s="584"/>
      <c r="AM7" s="585"/>
      <c r="AN7" s="75"/>
      <c r="AO7" s="528"/>
      <c r="AP7" s="529"/>
      <c r="AQ7" s="529"/>
      <c r="AR7" s="529"/>
      <c r="AS7" s="529"/>
      <c r="AT7" s="530"/>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523"/>
      <c r="C8" s="523"/>
      <c r="D8" s="524"/>
      <c r="E8" s="564"/>
      <c r="F8" s="565"/>
      <c r="G8" s="565"/>
      <c r="H8" s="565"/>
      <c r="I8" s="566"/>
      <c r="J8" s="575" t="str">
        <f>IF(AND('R. Seguridad de la Información'!$N$27="Muy Alta",'R. Seguridad de la Información'!$R$27="Leve"),CONCATENATE("R",'R. Seguridad de la Información'!$A$27),"")</f>
        <v/>
      </c>
      <c r="K8" s="572"/>
      <c r="L8" s="570" t="str">
        <f>IF(AND('R. Seguridad de la Información'!$N$33="Muy Alta",'R. Seguridad de la Información'!$R$33="Leve"),CONCATENATE("R",'R. Seguridad de la Información'!$A$33),"")</f>
        <v/>
      </c>
      <c r="M8" s="570"/>
      <c r="N8" s="570" t="str">
        <f>IF(AND('R. Seguridad de la Información'!$N$39="Muy Alta",'R. Seguridad de la Información'!$R$39="Leve"),CONCATENATE("R",'R. Seguridad de la Información'!$A$39),"")</f>
        <v/>
      </c>
      <c r="O8" s="571"/>
      <c r="P8" s="575" t="str">
        <f>IF(AND('R. Seguridad de la Información'!$N$27="Muy Alta",'R. Seguridad de la Información'!$R$27="Menor"),CONCATENATE("R",'R. Seguridad de la Información'!$A$27),"")</f>
        <v/>
      </c>
      <c r="Q8" s="572"/>
      <c r="R8" s="570" t="str">
        <f>IF(AND('R. Seguridad de la Información'!$N$33="Muy Alta",'R. Seguridad de la Información'!$R$33="Menor"),CONCATENATE("R",'R. Seguridad de la Información'!$A$33),"")</f>
        <v/>
      </c>
      <c r="S8" s="570"/>
      <c r="T8" s="570" t="str">
        <f>IF(AND('R. Seguridad de la Información'!$N$39="Muy Alta",'R. Seguridad de la Información'!$R$39="Menor"),CONCATENATE("R",'R. Seguridad de la Información'!$A$39),"")</f>
        <v/>
      </c>
      <c r="U8" s="571"/>
      <c r="V8" s="575" t="str">
        <f>IF(AND('R. Seguridad de la Información'!$N$27="Muy Alta",'R. Seguridad de la Información'!$R$27="Moderado"),CONCATENATE("R",'R. Seguridad de la Información'!$A$27),"")</f>
        <v/>
      </c>
      <c r="W8" s="572"/>
      <c r="X8" s="570" t="str">
        <f>IF(AND('R. Seguridad de la Información'!$N$33="Muy Alta",'R. Seguridad de la Información'!$R$33="Moderado"),CONCATENATE("R",'R. Seguridad de la Información'!$A$33),"")</f>
        <v/>
      </c>
      <c r="Y8" s="570"/>
      <c r="Z8" s="570" t="str">
        <f>IF(AND('R. Seguridad de la Información'!$N$39="Muy Alta",'R. Seguridad de la Información'!$R$39="Moderado"),CONCATENATE("R",'R. Seguridad de la Información'!$A$39),"")</f>
        <v/>
      </c>
      <c r="AA8" s="571"/>
      <c r="AB8" s="575" t="str">
        <f>IF(AND('R. Seguridad de la Información'!$N$27="Muy Alta",'R. Seguridad de la Información'!$R$27="Mayor"),CONCATENATE("R",'R. Seguridad de la Información'!$A$27),"")</f>
        <v/>
      </c>
      <c r="AC8" s="572"/>
      <c r="AD8" s="570" t="str">
        <f>IF(AND('R. Seguridad de la Información'!$N$33="Muy Alta",'R. Seguridad de la Información'!$R$33="Mayor"),CONCATENATE("R",'R. Seguridad de la Información'!$A$33),"")</f>
        <v/>
      </c>
      <c r="AE8" s="570"/>
      <c r="AF8" s="570" t="str">
        <f>IF(AND('R. Seguridad de la Información'!$N$39="Muy Alta",'R. Seguridad de la Información'!$R$39="Mayor"),CONCATENATE("R",'R. Seguridad de la Información'!$A$39),"")</f>
        <v/>
      </c>
      <c r="AG8" s="571"/>
      <c r="AH8" s="583" t="str">
        <f>IF(AND('R. Seguridad de la Información'!$N$27="Muy Alta",'R. Seguridad de la Información'!$R$27="Catastrófico"),CONCATENATE("R",'R. Seguridad de la Información'!$A$27),"")</f>
        <v/>
      </c>
      <c r="AI8" s="584"/>
      <c r="AJ8" s="584" t="str">
        <f>IF(AND('R. Seguridad de la Información'!$N$33="Muy Alta",'R. Seguridad de la Información'!$R$33="Catastrófico"),CONCATENATE("R",'R. Seguridad de la Información'!$A$33),"")</f>
        <v/>
      </c>
      <c r="AK8" s="584"/>
      <c r="AL8" s="584" t="str">
        <f>IF(AND('R. Seguridad de la Información'!$N$39="Muy Alta",'R. Seguridad de la Información'!$R$39="Catastrófico"),CONCATENATE("R",'R. Seguridad de la Información'!$A$39),"")</f>
        <v/>
      </c>
      <c r="AM8" s="585"/>
      <c r="AN8" s="75"/>
      <c r="AO8" s="528"/>
      <c r="AP8" s="529"/>
      <c r="AQ8" s="529"/>
      <c r="AR8" s="529"/>
      <c r="AS8" s="529"/>
      <c r="AT8" s="530"/>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523"/>
      <c r="C9" s="523"/>
      <c r="D9" s="524"/>
      <c r="E9" s="564"/>
      <c r="F9" s="565"/>
      <c r="G9" s="565"/>
      <c r="H9" s="565"/>
      <c r="I9" s="566"/>
      <c r="J9" s="575"/>
      <c r="K9" s="572"/>
      <c r="L9" s="570"/>
      <c r="M9" s="570"/>
      <c r="N9" s="570"/>
      <c r="O9" s="571"/>
      <c r="P9" s="575"/>
      <c r="Q9" s="572"/>
      <c r="R9" s="570"/>
      <c r="S9" s="570"/>
      <c r="T9" s="570"/>
      <c r="U9" s="571"/>
      <c r="V9" s="575"/>
      <c r="W9" s="572"/>
      <c r="X9" s="570"/>
      <c r="Y9" s="570"/>
      <c r="Z9" s="570"/>
      <c r="AA9" s="571"/>
      <c r="AB9" s="575"/>
      <c r="AC9" s="572"/>
      <c r="AD9" s="570"/>
      <c r="AE9" s="570"/>
      <c r="AF9" s="570"/>
      <c r="AG9" s="571"/>
      <c r="AH9" s="583"/>
      <c r="AI9" s="584"/>
      <c r="AJ9" s="584"/>
      <c r="AK9" s="584"/>
      <c r="AL9" s="584"/>
      <c r="AM9" s="585"/>
      <c r="AN9" s="75"/>
      <c r="AO9" s="528"/>
      <c r="AP9" s="529"/>
      <c r="AQ9" s="529"/>
      <c r="AR9" s="529"/>
      <c r="AS9" s="529"/>
      <c r="AT9" s="530"/>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523"/>
      <c r="C10" s="523"/>
      <c r="D10" s="524"/>
      <c r="E10" s="564"/>
      <c r="F10" s="565"/>
      <c r="G10" s="565"/>
      <c r="H10" s="565"/>
      <c r="I10" s="566"/>
      <c r="J10" s="575" t="str">
        <f>IF(AND('R. Seguridad de la Información'!$N$45="Muy Alta",'R. Seguridad de la Información'!$R$45="Leve"),CONCATENATE("R",'R. Seguridad de la Información'!$A$45),"")</f>
        <v/>
      </c>
      <c r="K10" s="572"/>
      <c r="L10" s="570" t="str">
        <f>IF(AND('R. Seguridad de la Información'!$N$51="Muy Alta",'R. Seguridad de la Información'!$R$51="Leve"),CONCATENATE("R",'R. Seguridad de la Información'!$A$51),"")</f>
        <v/>
      </c>
      <c r="M10" s="570"/>
      <c r="N10" s="570" t="str">
        <f>IF(AND('R. Seguridad de la Información'!$N$57="Muy Alta",'R. Seguridad de la Información'!$R$57="Leve"),CONCATENATE("R",'R. Seguridad de la Información'!$A$57),"")</f>
        <v/>
      </c>
      <c r="O10" s="571"/>
      <c r="P10" s="575" t="str">
        <f>IF(AND('R. Seguridad de la Información'!$N$45="Muy Alta",'R. Seguridad de la Información'!$R$45="Menor"),CONCATENATE("R",'R. Seguridad de la Información'!$A$45),"")</f>
        <v/>
      </c>
      <c r="Q10" s="572"/>
      <c r="R10" s="570" t="str">
        <f>IF(AND('R. Seguridad de la Información'!$N$51="Muy Alta",'R. Seguridad de la Información'!$R$51="Menor"),CONCATENATE("R",'R. Seguridad de la Información'!$A$51),"")</f>
        <v/>
      </c>
      <c r="S10" s="570"/>
      <c r="T10" s="570" t="str">
        <f>IF(AND('R. Seguridad de la Información'!$N$57="Muy Alta",'R. Seguridad de la Información'!$R$57="Menor"),CONCATENATE("R",'R. Seguridad de la Información'!$A$57),"")</f>
        <v/>
      </c>
      <c r="U10" s="571"/>
      <c r="V10" s="575" t="str">
        <f>IF(AND('R. Seguridad de la Información'!$N$45="Muy Alta",'R. Seguridad de la Información'!$R$45="Moderado"),CONCATENATE("R",'R. Seguridad de la Información'!$A$45),"")</f>
        <v/>
      </c>
      <c r="W10" s="572"/>
      <c r="X10" s="570" t="str">
        <f>IF(AND('R. Seguridad de la Información'!$N$51="Muy Alta",'R. Seguridad de la Información'!$R$51="Moderado"),CONCATENATE("R",'R. Seguridad de la Información'!$A$51),"")</f>
        <v/>
      </c>
      <c r="Y10" s="570"/>
      <c r="Z10" s="570" t="str">
        <f>IF(AND('R. Seguridad de la Información'!$N$57="Muy Alta",'R. Seguridad de la Información'!$R$57="Moderado"),CONCATENATE("R",'R. Seguridad de la Información'!$A$57),"")</f>
        <v/>
      </c>
      <c r="AA10" s="571"/>
      <c r="AB10" s="575" t="str">
        <f>IF(AND('R. Seguridad de la Información'!$N$45="Muy Alta",'R. Seguridad de la Información'!$R$45="Mayor"),CONCATENATE("R",'R. Seguridad de la Información'!$A$45),"")</f>
        <v/>
      </c>
      <c r="AC10" s="572"/>
      <c r="AD10" s="570" t="str">
        <f>IF(AND('R. Seguridad de la Información'!$N$51="Muy Alta",'R. Seguridad de la Información'!$R$51="Mayor"),CONCATENATE("R",'R. Seguridad de la Información'!$A$51),"")</f>
        <v/>
      </c>
      <c r="AE10" s="570"/>
      <c r="AF10" s="570" t="str">
        <f>IF(AND('R. Seguridad de la Información'!$N$57="Muy Alta",'R. Seguridad de la Información'!$R$57="Mayor"),CONCATENATE("R",'R. Seguridad de la Información'!$A$57),"")</f>
        <v/>
      </c>
      <c r="AG10" s="571"/>
      <c r="AH10" s="583" t="str">
        <f>IF(AND('R. Seguridad de la Información'!$N$45="Muy Alta",'R. Seguridad de la Información'!$R$45="Catastrófico"),CONCATENATE("R",'R. Seguridad de la Información'!$A$45),"")</f>
        <v/>
      </c>
      <c r="AI10" s="584"/>
      <c r="AJ10" s="584" t="str">
        <f>IF(AND('R. Seguridad de la Información'!$N$51="Muy Alta",'R. Seguridad de la Información'!$R$51="Catastrófico"),CONCATENATE("R",'R. Seguridad de la Información'!$A$51),"")</f>
        <v/>
      </c>
      <c r="AK10" s="584"/>
      <c r="AL10" s="584" t="str">
        <f>IF(AND('R. Seguridad de la Información'!$N$57="Muy Alta",'R. Seguridad de la Información'!$R$57="Catastrófico"),CONCATENATE("R",'R. Seguridad de la Información'!$A$57),"")</f>
        <v/>
      </c>
      <c r="AM10" s="585"/>
      <c r="AN10" s="75"/>
      <c r="AO10" s="528"/>
      <c r="AP10" s="529"/>
      <c r="AQ10" s="529"/>
      <c r="AR10" s="529"/>
      <c r="AS10" s="529"/>
      <c r="AT10" s="530"/>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523"/>
      <c r="C11" s="523"/>
      <c r="D11" s="524"/>
      <c r="E11" s="564"/>
      <c r="F11" s="565"/>
      <c r="G11" s="565"/>
      <c r="H11" s="565"/>
      <c r="I11" s="566"/>
      <c r="J11" s="575"/>
      <c r="K11" s="572"/>
      <c r="L11" s="570"/>
      <c r="M11" s="570"/>
      <c r="N11" s="570"/>
      <c r="O11" s="571"/>
      <c r="P11" s="575"/>
      <c r="Q11" s="572"/>
      <c r="R11" s="570"/>
      <c r="S11" s="570"/>
      <c r="T11" s="570"/>
      <c r="U11" s="571"/>
      <c r="V11" s="575"/>
      <c r="W11" s="572"/>
      <c r="X11" s="570"/>
      <c r="Y11" s="570"/>
      <c r="Z11" s="570"/>
      <c r="AA11" s="571"/>
      <c r="AB11" s="575"/>
      <c r="AC11" s="572"/>
      <c r="AD11" s="570"/>
      <c r="AE11" s="570"/>
      <c r="AF11" s="570"/>
      <c r="AG11" s="571"/>
      <c r="AH11" s="583"/>
      <c r="AI11" s="584"/>
      <c r="AJ11" s="584"/>
      <c r="AK11" s="584"/>
      <c r="AL11" s="584"/>
      <c r="AM11" s="585"/>
      <c r="AN11" s="75"/>
      <c r="AO11" s="528"/>
      <c r="AP11" s="529"/>
      <c r="AQ11" s="529"/>
      <c r="AR11" s="529"/>
      <c r="AS11" s="529"/>
      <c r="AT11" s="530"/>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523"/>
      <c r="C12" s="523"/>
      <c r="D12" s="524"/>
      <c r="E12" s="564"/>
      <c r="F12" s="565"/>
      <c r="G12" s="565"/>
      <c r="H12" s="565"/>
      <c r="I12" s="566"/>
      <c r="J12" s="575" t="str">
        <f>IF(AND('R. Seguridad de la Información'!$N$63="Muy Alta",'R. Seguridad de la Información'!$R$63="Leve"),CONCATENATE("R",'R. Seguridad de la Información'!$A$63),"")</f>
        <v/>
      </c>
      <c r="K12" s="572"/>
      <c r="L12" s="570" t="e">
        <f>IF(AND('R. Seguridad de la Información'!#REF!="Muy Alta",'R. Seguridad de la Información'!#REF!="Leve"),CONCATENATE("R",'R. Seguridad de la Información'!#REF!),"")</f>
        <v>#REF!</v>
      </c>
      <c r="M12" s="570"/>
      <c r="N12" s="570" t="str">
        <f>IF(AND('R. Seguridad de la Información'!$N$73="Muy Alta",'R. Seguridad de la Información'!$R$73="Leve"),CONCATENATE("R",'R. Seguridad de la Información'!$A$73),"")</f>
        <v/>
      </c>
      <c r="O12" s="571"/>
      <c r="P12" s="575" t="str">
        <f>IF(AND('R. Seguridad de la Información'!$N$63="Muy Alta",'R. Seguridad de la Información'!$R$63="Menor"),CONCATENATE("R",'R. Seguridad de la Información'!$A$63),"")</f>
        <v/>
      </c>
      <c r="Q12" s="572"/>
      <c r="R12" s="570" t="e">
        <f>IF(AND('R. Seguridad de la Información'!#REF!="Muy Alta",'R. Seguridad de la Información'!#REF!="Menor"),CONCATENATE("R",'R. Seguridad de la Información'!#REF!),"")</f>
        <v>#REF!</v>
      </c>
      <c r="S12" s="570"/>
      <c r="T12" s="570" t="str">
        <f>IF(AND('R. Seguridad de la Información'!$N$73="Muy Alta",'R. Seguridad de la Información'!$R$73="Menor"),CONCATENATE("R",'R. Seguridad de la Información'!$A$73),"")</f>
        <v/>
      </c>
      <c r="U12" s="571"/>
      <c r="V12" s="575" t="str">
        <f>IF(AND('R. Seguridad de la Información'!$N$63="Muy Alta",'R. Seguridad de la Información'!$R$63="Moderado"),CONCATENATE("R",'R. Seguridad de la Información'!$A$63),"")</f>
        <v/>
      </c>
      <c r="W12" s="572"/>
      <c r="X12" s="570" t="e">
        <f>IF(AND('R. Seguridad de la Información'!#REF!="Muy Alta",'R. Seguridad de la Información'!#REF!="Moderado"),CONCATENATE("R",'R. Seguridad de la Información'!#REF!),"")</f>
        <v>#REF!</v>
      </c>
      <c r="Y12" s="570"/>
      <c r="Z12" s="570" t="str">
        <f>IF(AND('R. Seguridad de la Información'!$N$73="Muy Alta",'R. Seguridad de la Información'!$R$73="Moderado"),CONCATENATE("R",'R. Seguridad de la Información'!$A$73),"")</f>
        <v/>
      </c>
      <c r="AA12" s="571"/>
      <c r="AB12" s="575" t="str">
        <f>IF(AND('R. Seguridad de la Información'!$N$63="Muy Alta",'R. Seguridad de la Información'!$R$63="Mayor"),CONCATENATE("R",'R. Seguridad de la Información'!$A$63),"")</f>
        <v/>
      </c>
      <c r="AC12" s="572"/>
      <c r="AD12" s="570" t="e">
        <f>IF(AND('R. Seguridad de la Información'!#REF!="Muy Alta",'R. Seguridad de la Información'!#REF!="Mayor"),CONCATENATE("R",'R. Seguridad de la Información'!#REF!),"")</f>
        <v>#REF!</v>
      </c>
      <c r="AE12" s="570"/>
      <c r="AF12" s="570" t="str">
        <f>IF(AND('R. Seguridad de la Información'!$N$73="Muy Alta",'R. Seguridad de la Información'!$R$73="Mayor"),CONCATENATE("R",'R. Seguridad de la Información'!$A$73),"")</f>
        <v/>
      </c>
      <c r="AG12" s="571"/>
      <c r="AH12" s="583" t="str">
        <f>IF(AND('R. Seguridad de la Información'!$N$63="Muy Alta",'R. Seguridad de la Información'!$R$63="Catastrófico"),CONCATENATE("R",'R. Seguridad de la Información'!$A$63),"")</f>
        <v/>
      </c>
      <c r="AI12" s="584"/>
      <c r="AJ12" s="584" t="e">
        <f>IF(AND('R. Seguridad de la Información'!#REF!="Muy Alta",'R. Seguridad de la Información'!#REF!="Catastrófico"),CONCATENATE("R",'R. Seguridad de la Información'!#REF!),"")</f>
        <v>#REF!</v>
      </c>
      <c r="AK12" s="584"/>
      <c r="AL12" s="584" t="str">
        <f>IF(AND('R. Seguridad de la Información'!$N$73="Muy Alta",'R. Seguridad de la Información'!$R$73="Catastrófico"),CONCATENATE("R",'R. Seguridad de la Información'!$A$73),"")</f>
        <v/>
      </c>
      <c r="AM12" s="585"/>
      <c r="AN12" s="75"/>
      <c r="AO12" s="528"/>
      <c r="AP12" s="529"/>
      <c r="AQ12" s="529"/>
      <c r="AR12" s="529"/>
      <c r="AS12" s="529"/>
      <c r="AT12" s="530"/>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523"/>
      <c r="C13" s="523"/>
      <c r="D13" s="524"/>
      <c r="E13" s="567"/>
      <c r="F13" s="568"/>
      <c r="G13" s="568"/>
      <c r="H13" s="568"/>
      <c r="I13" s="569"/>
      <c r="J13" s="575"/>
      <c r="K13" s="572"/>
      <c r="L13" s="572"/>
      <c r="M13" s="572"/>
      <c r="N13" s="572"/>
      <c r="O13" s="571"/>
      <c r="P13" s="575"/>
      <c r="Q13" s="572"/>
      <c r="R13" s="572"/>
      <c r="S13" s="572"/>
      <c r="T13" s="572"/>
      <c r="U13" s="571"/>
      <c r="V13" s="575"/>
      <c r="W13" s="572"/>
      <c r="X13" s="572"/>
      <c r="Y13" s="572"/>
      <c r="Z13" s="572"/>
      <c r="AA13" s="571"/>
      <c r="AB13" s="575"/>
      <c r="AC13" s="572"/>
      <c r="AD13" s="572"/>
      <c r="AE13" s="572"/>
      <c r="AF13" s="572"/>
      <c r="AG13" s="571"/>
      <c r="AH13" s="586"/>
      <c r="AI13" s="587"/>
      <c r="AJ13" s="587"/>
      <c r="AK13" s="587"/>
      <c r="AL13" s="587"/>
      <c r="AM13" s="588"/>
      <c r="AN13" s="75"/>
      <c r="AO13" s="531"/>
      <c r="AP13" s="532"/>
      <c r="AQ13" s="532"/>
      <c r="AR13" s="532"/>
      <c r="AS13" s="532"/>
      <c r="AT13" s="533"/>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523"/>
      <c r="C14" s="523"/>
      <c r="D14" s="524"/>
      <c r="E14" s="561" t="s">
        <v>104</v>
      </c>
      <c r="F14" s="562"/>
      <c r="G14" s="562"/>
      <c r="H14" s="562"/>
      <c r="I14" s="562"/>
      <c r="J14" s="598" t="str">
        <f>IF(AND('R. Seguridad de la Información'!$N$9="Alta",'R. Seguridad de la Información'!$R$9="Leve"),CONCATENATE("R",'R. Seguridad de la Información'!$A$9),"")</f>
        <v/>
      </c>
      <c r="K14" s="599"/>
      <c r="L14" s="599" t="str">
        <f>IF(AND('R. Seguridad de la Información'!$N$15="Alta",'R. Seguridad de la Información'!$R$15="Leve"),CONCATENATE("R",'R. Seguridad de la Información'!$A$15),"")</f>
        <v/>
      </c>
      <c r="M14" s="599"/>
      <c r="N14" s="599" t="str">
        <f>IF(AND('R. Seguridad de la Información'!$N$21="Alta",'R. Seguridad de la Información'!$R$21="Leve"),CONCATENATE("R",'R. Seguridad de la Información'!$A$21),"")</f>
        <v/>
      </c>
      <c r="O14" s="600"/>
      <c r="P14" s="598" t="str">
        <f>IF(AND('R. Seguridad de la Información'!$N$9="Alta",'R. Seguridad de la Información'!$R$9="Menor"),CONCATENATE("R",'R. Seguridad de la Información'!$A$9),"")</f>
        <v/>
      </c>
      <c r="Q14" s="599"/>
      <c r="R14" s="599" t="str">
        <f>IF(AND('R. Seguridad de la Información'!$N$15="Alta",'R. Seguridad de la Información'!$R$15="Menor"),CONCATENATE("R",'R. Seguridad de la Información'!$A$15),"")</f>
        <v/>
      </c>
      <c r="S14" s="599"/>
      <c r="T14" s="599" t="str">
        <f>IF(AND('R. Seguridad de la Información'!$N$21="Alta",'R. Seguridad de la Información'!$R$21="Menor"),CONCATENATE("R",'R. Seguridad de la Información'!$A$21),"")</f>
        <v/>
      </c>
      <c r="U14" s="600"/>
      <c r="V14" s="573" t="str">
        <f>IF(AND('R. Seguridad de la Información'!$N$9="Alta",'R. Seguridad de la Información'!$R$9="Moderado"),CONCATENATE("R",'R. Seguridad de la Información'!$A$9),"")</f>
        <v/>
      </c>
      <c r="W14" s="574"/>
      <c r="X14" s="574" t="str">
        <f>IF(AND('R. Seguridad de la Información'!$N$15="Alta",'R. Seguridad de la Información'!$R$15="Moderado"),CONCATENATE("R",'R. Seguridad de la Información'!$A$15),"")</f>
        <v/>
      </c>
      <c r="Y14" s="574"/>
      <c r="Z14" s="574" t="str">
        <f>IF(AND('R. Seguridad de la Información'!$N$21="Alta",'R. Seguridad de la Información'!$R$21="Moderado"),CONCATENATE("R",'R. Seguridad de la Información'!$A$21),"")</f>
        <v/>
      </c>
      <c r="AA14" s="576"/>
      <c r="AB14" s="573" t="str">
        <f>IF(AND('R. Seguridad de la Información'!$N$9="Alta",'R. Seguridad de la Información'!$R$9="Mayor"),CONCATENATE("R",'R. Seguridad de la Información'!$A$9),"")</f>
        <v/>
      </c>
      <c r="AC14" s="574"/>
      <c r="AD14" s="574" t="str">
        <f>IF(AND('R. Seguridad de la Información'!$N$15="Alta",'R. Seguridad de la Información'!$R$15="Mayor"),CONCATENATE("R",'R. Seguridad de la Información'!$A$15),"")</f>
        <v/>
      </c>
      <c r="AE14" s="574"/>
      <c r="AF14" s="574" t="str">
        <f>IF(AND('R. Seguridad de la Información'!$N$21="Alta",'R. Seguridad de la Información'!$R$21="Mayor"),CONCATENATE("R",'R. Seguridad de la Información'!$A$21),"")</f>
        <v/>
      </c>
      <c r="AG14" s="576"/>
      <c r="AH14" s="589" t="str">
        <f>IF(AND('R. Seguridad de la Información'!$N$9="Alta",'R. Seguridad de la Información'!$R$9="Catastrófico"),CONCATENATE("R",'R. Seguridad de la Información'!$A$9),"")</f>
        <v/>
      </c>
      <c r="AI14" s="590"/>
      <c r="AJ14" s="590" t="str">
        <f>IF(AND('R. Seguridad de la Información'!$N$15="Alta",'R. Seguridad de la Información'!$R$15="Catastrófico"),CONCATENATE("R",'R. Seguridad de la Información'!$A$15),"")</f>
        <v/>
      </c>
      <c r="AK14" s="590"/>
      <c r="AL14" s="590" t="str">
        <f>IF(AND('R. Seguridad de la Información'!$N$21="Alta",'R. Seguridad de la Información'!$R$21="Catastrófico"),CONCATENATE("R",'R. Seguridad de la Información'!$A$21),"")</f>
        <v/>
      </c>
      <c r="AM14" s="591"/>
      <c r="AN14" s="75"/>
      <c r="AO14" s="534" t="s">
        <v>70</v>
      </c>
      <c r="AP14" s="535"/>
      <c r="AQ14" s="535"/>
      <c r="AR14" s="535"/>
      <c r="AS14" s="535"/>
      <c r="AT14" s="536"/>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523"/>
      <c r="C15" s="523"/>
      <c r="D15" s="524"/>
      <c r="E15" s="564"/>
      <c r="F15" s="565"/>
      <c r="G15" s="565"/>
      <c r="H15" s="565"/>
      <c r="I15" s="578"/>
      <c r="J15" s="592"/>
      <c r="K15" s="593"/>
      <c r="L15" s="593"/>
      <c r="M15" s="593"/>
      <c r="N15" s="593"/>
      <c r="O15" s="594"/>
      <c r="P15" s="592"/>
      <c r="Q15" s="593"/>
      <c r="R15" s="593"/>
      <c r="S15" s="593"/>
      <c r="T15" s="593"/>
      <c r="U15" s="594"/>
      <c r="V15" s="575"/>
      <c r="W15" s="572"/>
      <c r="X15" s="572"/>
      <c r="Y15" s="572"/>
      <c r="Z15" s="572"/>
      <c r="AA15" s="571"/>
      <c r="AB15" s="575"/>
      <c r="AC15" s="572"/>
      <c r="AD15" s="572"/>
      <c r="AE15" s="572"/>
      <c r="AF15" s="572"/>
      <c r="AG15" s="571"/>
      <c r="AH15" s="583"/>
      <c r="AI15" s="584"/>
      <c r="AJ15" s="584"/>
      <c r="AK15" s="584"/>
      <c r="AL15" s="584"/>
      <c r="AM15" s="585"/>
      <c r="AN15" s="75"/>
      <c r="AO15" s="537"/>
      <c r="AP15" s="538"/>
      <c r="AQ15" s="538"/>
      <c r="AR15" s="538"/>
      <c r="AS15" s="538"/>
      <c r="AT15" s="539"/>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523"/>
      <c r="C16" s="523"/>
      <c r="D16" s="524"/>
      <c r="E16" s="564"/>
      <c r="F16" s="565"/>
      <c r="G16" s="565"/>
      <c r="H16" s="565"/>
      <c r="I16" s="578"/>
      <c r="J16" s="592" t="str">
        <f>IF(AND('R. Seguridad de la Información'!$N$27="Alta",'R. Seguridad de la Información'!$R$27="Leve"),CONCATENATE("R",'R. Seguridad de la Información'!$A$27),"")</f>
        <v/>
      </c>
      <c r="K16" s="593"/>
      <c r="L16" s="593" t="str">
        <f>IF(AND('R. Seguridad de la Información'!$N$33="Alta",'R. Seguridad de la Información'!$R$33="Leve"),CONCATENATE("R",'R. Seguridad de la Información'!$A$33),"")</f>
        <v/>
      </c>
      <c r="M16" s="593"/>
      <c r="N16" s="593" t="str">
        <f>IF(AND('R. Seguridad de la Información'!$N$39="Alta",'R. Seguridad de la Información'!$R$39="Leve"),CONCATENATE("R",'R. Seguridad de la Información'!$A$39),"")</f>
        <v/>
      </c>
      <c r="O16" s="594"/>
      <c r="P16" s="592" t="str">
        <f>IF(AND('R. Seguridad de la Información'!$N$27="Alta",'R. Seguridad de la Información'!$R$27="Menor"),CONCATENATE("R",'R. Seguridad de la Información'!$A$27),"")</f>
        <v/>
      </c>
      <c r="Q16" s="593"/>
      <c r="R16" s="593" t="str">
        <f>IF(AND('R. Seguridad de la Información'!$N$33="Alta",'R. Seguridad de la Información'!$R$33="Menor"),CONCATENATE("R",'R. Seguridad de la Información'!$A$33),"")</f>
        <v/>
      </c>
      <c r="S16" s="593"/>
      <c r="T16" s="593" t="str">
        <f>IF(AND('R. Seguridad de la Información'!$N$39="Alta",'R. Seguridad de la Información'!$R$39="Menor"),CONCATENATE("R",'R. Seguridad de la Información'!$A$39),"")</f>
        <v/>
      </c>
      <c r="U16" s="594"/>
      <c r="V16" s="575" t="str">
        <f>IF(AND('R. Seguridad de la Información'!$N$27="Alta",'R. Seguridad de la Información'!$R$27="Moderado"),CONCATENATE("R",'R. Seguridad de la Información'!$A$27),"")</f>
        <v/>
      </c>
      <c r="W16" s="572"/>
      <c r="X16" s="570" t="str">
        <f>IF(AND('R. Seguridad de la Información'!$N$33="Alta",'R. Seguridad de la Información'!$R$33="Moderado"),CONCATENATE("R",'R. Seguridad de la Información'!$A$33),"")</f>
        <v/>
      </c>
      <c r="Y16" s="570"/>
      <c r="Z16" s="570" t="str">
        <f>IF(AND('R. Seguridad de la Información'!$N$39="Alta",'R. Seguridad de la Información'!$R$39="Moderado"),CONCATENATE("R",'R. Seguridad de la Información'!$A$39),"")</f>
        <v/>
      </c>
      <c r="AA16" s="571"/>
      <c r="AB16" s="575" t="str">
        <f>IF(AND('R. Seguridad de la Información'!$N$27="Alta",'R. Seguridad de la Información'!$R$27="Mayor"),CONCATENATE("R",'R. Seguridad de la Información'!$A$27),"")</f>
        <v/>
      </c>
      <c r="AC16" s="572"/>
      <c r="AD16" s="570" t="str">
        <f>IF(AND('R. Seguridad de la Información'!$N$33="Alta",'R. Seguridad de la Información'!$R$33="Mayor"),CONCATENATE("R",'R. Seguridad de la Información'!$A$33),"")</f>
        <v/>
      </c>
      <c r="AE16" s="570"/>
      <c r="AF16" s="570" t="str">
        <f>IF(AND('R. Seguridad de la Información'!$N$39="Alta",'R. Seguridad de la Información'!$R$39="Mayor"),CONCATENATE("R",'R. Seguridad de la Información'!$A$39),"")</f>
        <v/>
      </c>
      <c r="AG16" s="571"/>
      <c r="AH16" s="583" t="str">
        <f>IF(AND('R. Seguridad de la Información'!$N$27="Alta",'R. Seguridad de la Información'!$R$27="Catastrófico"),CONCATENATE("R",'R. Seguridad de la Información'!$A$27),"")</f>
        <v/>
      </c>
      <c r="AI16" s="584"/>
      <c r="AJ16" s="584" t="str">
        <f>IF(AND('R. Seguridad de la Información'!$N$33="Alta",'R. Seguridad de la Información'!$R$33="Catastrófico"),CONCATENATE("R",'R. Seguridad de la Información'!$A$33),"")</f>
        <v/>
      </c>
      <c r="AK16" s="584"/>
      <c r="AL16" s="584" t="str">
        <f>IF(AND('R. Seguridad de la Información'!$N$39="Alta",'R. Seguridad de la Información'!$R$39="Catastrófico"),CONCATENATE("R",'R. Seguridad de la Información'!$A$39),"")</f>
        <v/>
      </c>
      <c r="AM16" s="585"/>
      <c r="AN16" s="75"/>
      <c r="AO16" s="537"/>
      <c r="AP16" s="538"/>
      <c r="AQ16" s="538"/>
      <c r="AR16" s="538"/>
      <c r="AS16" s="538"/>
      <c r="AT16" s="539"/>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523"/>
      <c r="C17" s="523"/>
      <c r="D17" s="524"/>
      <c r="E17" s="564"/>
      <c r="F17" s="565"/>
      <c r="G17" s="565"/>
      <c r="H17" s="565"/>
      <c r="I17" s="578"/>
      <c r="J17" s="592"/>
      <c r="K17" s="593"/>
      <c r="L17" s="593"/>
      <c r="M17" s="593"/>
      <c r="N17" s="593"/>
      <c r="O17" s="594"/>
      <c r="P17" s="592"/>
      <c r="Q17" s="593"/>
      <c r="R17" s="593"/>
      <c r="S17" s="593"/>
      <c r="T17" s="593"/>
      <c r="U17" s="594"/>
      <c r="V17" s="575"/>
      <c r="W17" s="572"/>
      <c r="X17" s="570"/>
      <c r="Y17" s="570"/>
      <c r="Z17" s="570"/>
      <c r="AA17" s="571"/>
      <c r="AB17" s="575"/>
      <c r="AC17" s="572"/>
      <c r="AD17" s="570"/>
      <c r="AE17" s="570"/>
      <c r="AF17" s="570"/>
      <c r="AG17" s="571"/>
      <c r="AH17" s="583"/>
      <c r="AI17" s="584"/>
      <c r="AJ17" s="584"/>
      <c r="AK17" s="584"/>
      <c r="AL17" s="584"/>
      <c r="AM17" s="585"/>
      <c r="AN17" s="75"/>
      <c r="AO17" s="537"/>
      <c r="AP17" s="538"/>
      <c r="AQ17" s="538"/>
      <c r="AR17" s="538"/>
      <c r="AS17" s="538"/>
      <c r="AT17" s="539"/>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523"/>
      <c r="C18" s="523"/>
      <c r="D18" s="524"/>
      <c r="E18" s="564"/>
      <c r="F18" s="565"/>
      <c r="G18" s="565"/>
      <c r="H18" s="565"/>
      <c r="I18" s="578"/>
      <c r="J18" s="592" t="str">
        <f>IF(AND('R. Seguridad de la Información'!$N$45="Alta",'R. Seguridad de la Información'!$R$45="Leve"),CONCATENATE("R",'R. Seguridad de la Información'!$A$45),"")</f>
        <v/>
      </c>
      <c r="K18" s="593"/>
      <c r="L18" s="593" t="str">
        <f>IF(AND('R. Seguridad de la Información'!$N$51="Alta",'R. Seguridad de la Información'!$R$51="Leve"),CONCATENATE("R",'R. Seguridad de la Información'!$A$51),"")</f>
        <v/>
      </c>
      <c r="M18" s="593"/>
      <c r="N18" s="593" t="str">
        <f>IF(AND('R. Seguridad de la Información'!$N$57="Alta",'R. Seguridad de la Información'!$R$57="Leve"),CONCATENATE("R",'R. Seguridad de la Información'!$A$57),"")</f>
        <v/>
      </c>
      <c r="O18" s="594"/>
      <c r="P18" s="592" t="str">
        <f>IF(AND('R. Seguridad de la Información'!$N$45="Alta",'R. Seguridad de la Información'!$R$45="Menor"),CONCATENATE("R",'R. Seguridad de la Información'!$A$45),"")</f>
        <v/>
      </c>
      <c r="Q18" s="593"/>
      <c r="R18" s="593" t="str">
        <f>IF(AND('R. Seguridad de la Información'!$N$51="Alta",'R. Seguridad de la Información'!$R$51="Menor"),CONCATENATE("R",'R. Seguridad de la Información'!$A$51),"")</f>
        <v/>
      </c>
      <c r="S18" s="593"/>
      <c r="T18" s="593" t="str">
        <f>IF(AND('R. Seguridad de la Información'!$N$57="Alta",'R. Seguridad de la Información'!$R$57="Menor"),CONCATENATE("R",'R. Seguridad de la Información'!$A$57),"")</f>
        <v/>
      </c>
      <c r="U18" s="594"/>
      <c r="V18" s="575" t="str">
        <f>IF(AND('R. Seguridad de la Información'!$N$45="Alta",'R. Seguridad de la Información'!$R$45="Moderado"),CONCATENATE("R",'R. Seguridad de la Información'!$A$45),"")</f>
        <v/>
      </c>
      <c r="W18" s="572"/>
      <c r="X18" s="570" t="str">
        <f>IF(AND('R. Seguridad de la Información'!$N$51="Alta",'R. Seguridad de la Información'!$R$51="Moderado"),CONCATENATE("R",'R. Seguridad de la Información'!$A$51),"")</f>
        <v/>
      </c>
      <c r="Y18" s="570"/>
      <c r="Z18" s="570" t="str">
        <f>IF(AND('R. Seguridad de la Información'!$N$57="Alta",'R. Seguridad de la Información'!$R$57="Moderado"),CONCATENATE("R",'R. Seguridad de la Información'!$A$57),"")</f>
        <v/>
      </c>
      <c r="AA18" s="571"/>
      <c r="AB18" s="575" t="str">
        <f>IF(AND('R. Seguridad de la Información'!$N$45="Alta",'R. Seguridad de la Información'!$R$45="Mayor"),CONCATENATE("R",'R. Seguridad de la Información'!$A$45),"")</f>
        <v/>
      </c>
      <c r="AC18" s="572"/>
      <c r="AD18" s="570" t="str">
        <f>IF(AND('R. Seguridad de la Información'!$N$51="Alta",'R. Seguridad de la Información'!$R$51="Mayor"),CONCATENATE("R",'R. Seguridad de la Información'!$A$51),"")</f>
        <v/>
      </c>
      <c r="AE18" s="570"/>
      <c r="AF18" s="570" t="str">
        <f>IF(AND('R. Seguridad de la Información'!$N$57="Alta",'R. Seguridad de la Información'!$R$57="Mayor"),CONCATENATE("R",'R. Seguridad de la Información'!$A$57),"")</f>
        <v/>
      </c>
      <c r="AG18" s="571"/>
      <c r="AH18" s="583" t="str">
        <f>IF(AND('R. Seguridad de la Información'!$N$45="Alta",'R. Seguridad de la Información'!$R$45="Catastrófico"),CONCATENATE("R",'R. Seguridad de la Información'!$A$45),"")</f>
        <v/>
      </c>
      <c r="AI18" s="584"/>
      <c r="AJ18" s="584" t="str">
        <f>IF(AND('R. Seguridad de la Información'!$N$51="Alta",'R. Seguridad de la Información'!$R$51="Catastrófico"),CONCATENATE("R",'R. Seguridad de la Información'!$A$51),"")</f>
        <v/>
      </c>
      <c r="AK18" s="584"/>
      <c r="AL18" s="584" t="str">
        <f>IF(AND('R. Seguridad de la Información'!$N$57="Alta",'R. Seguridad de la Información'!$R$57="Catastrófico"),CONCATENATE("R",'R. Seguridad de la Información'!$A$57),"")</f>
        <v/>
      </c>
      <c r="AM18" s="585"/>
      <c r="AN18" s="75"/>
      <c r="AO18" s="537"/>
      <c r="AP18" s="538"/>
      <c r="AQ18" s="538"/>
      <c r="AR18" s="538"/>
      <c r="AS18" s="538"/>
      <c r="AT18" s="539"/>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523"/>
      <c r="C19" s="523"/>
      <c r="D19" s="524"/>
      <c r="E19" s="564"/>
      <c r="F19" s="565"/>
      <c r="G19" s="565"/>
      <c r="H19" s="565"/>
      <c r="I19" s="578"/>
      <c r="J19" s="592"/>
      <c r="K19" s="593"/>
      <c r="L19" s="593"/>
      <c r="M19" s="593"/>
      <c r="N19" s="593"/>
      <c r="O19" s="594"/>
      <c r="P19" s="592"/>
      <c r="Q19" s="593"/>
      <c r="R19" s="593"/>
      <c r="S19" s="593"/>
      <c r="T19" s="593"/>
      <c r="U19" s="594"/>
      <c r="V19" s="575"/>
      <c r="W19" s="572"/>
      <c r="X19" s="570"/>
      <c r="Y19" s="570"/>
      <c r="Z19" s="570"/>
      <c r="AA19" s="571"/>
      <c r="AB19" s="575"/>
      <c r="AC19" s="572"/>
      <c r="AD19" s="570"/>
      <c r="AE19" s="570"/>
      <c r="AF19" s="570"/>
      <c r="AG19" s="571"/>
      <c r="AH19" s="583"/>
      <c r="AI19" s="584"/>
      <c r="AJ19" s="584"/>
      <c r="AK19" s="584"/>
      <c r="AL19" s="584"/>
      <c r="AM19" s="585"/>
      <c r="AN19" s="75"/>
      <c r="AO19" s="537"/>
      <c r="AP19" s="538"/>
      <c r="AQ19" s="538"/>
      <c r="AR19" s="538"/>
      <c r="AS19" s="538"/>
      <c r="AT19" s="539"/>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523"/>
      <c r="C20" s="523"/>
      <c r="D20" s="524"/>
      <c r="E20" s="564"/>
      <c r="F20" s="565"/>
      <c r="G20" s="565"/>
      <c r="H20" s="565"/>
      <c r="I20" s="578"/>
      <c r="J20" s="592" t="str">
        <f>IF(AND('R. Seguridad de la Información'!$N$63="Alta",'R. Seguridad de la Información'!$R$63="Leve"),CONCATENATE("R",'R. Seguridad de la Información'!$A$63),"")</f>
        <v/>
      </c>
      <c r="K20" s="593"/>
      <c r="L20" s="593" t="e">
        <f>IF(AND('R. Seguridad de la Información'!#REF!="Alta",'R. Seguridad de la Información'!#REF!="Leve"),CONCATENATE("R",'R. Seguridad de la Información'!#REF!),"")</f>
        <v>#REF!</v>
      </c>
      <c r="M20" s="593"/>
      <c r="N20" s="593" t="str">
        <f>IF(AND('R. Seguridad de la Información'!$N$73="Alta",'R. Seguridad de la Información'!$R$73="Leve"),CONCATENATE("R",'R. Seguridad de la Información'!$A$73),"")</f>
        <v/>
      </c>
      <c r="O20" s="594"/>
      <c r="P20" s="592" t="str">
        <f>IF(AND('R. Seguridad de la Información'!$N$63="Alta",'R. Seguridad de la Información'!$R$63="Menor"),CONCATENATE("R",'R. Seguridad de la Información'!$A$63),"")</f>
        <v/>
      </c>
      <c r="Q20" s="593"/>
      <c r="R20" s="593" t="e">
        <f>IF(AND('R. Seguridad de la Información'!#REF!="Alta",'R. Seguridad de la Información'!#REF!="Menor"),CONCATENATE("R",'R. Seguridad de la Información'!#REF!),"")</f>
        <v>#REF!</v>
      </c>
      <c r="S20" s="593"/>
      <c r="T20" s="593" t="str">
        <f>IF(AND('R. Seguridad de la Información'!$N$73="Alta",'R. Seguridad de la Información'!$R$73="Menor"),CONCATENATE("R",'R. Seguridad de la Información'!$A$73),"")</f>
        <v/>
      </c>
      <c r="U20" s="594"/>
      <c r="V20" s="575" t="str">
        <f>IF(AND('R. Seguridad de la Información'!$N$63="Alta",'R. Seguridad de la Información'!$R$63="Moderado"),CONCATENATE("R",'R. Seguridad de la Información'!$A$63),"")</f>
        <v/>
      </c>
      <c r="W20" s="572"/>
      <c r="X20" s="570" t="e">
        <f>IF(AND('R. Seguridad de la Información'!#REF!="Alta",'R. Seguridad de la Información'!#REF!="Moderado"),CONCATENATE("R",'R. Seguridad de la Información'!#REF!),"")</f>
        <v>#REF!</v>
      </c>
      <c r="Y20" s="570"/>
      <c r="Z20" s="570" t="str">
        <f>IF(AND('R. Seguridad de la Información'!$N$73="Alta",'R. Seguridad de la Información'!$R$73="Moderado"),CONCATENATE("R",'R. Seguridad de la Información'!$A$73),"")</f>
        <v/>
      </c>
      <c r="AA20" s="571"/>
      <c r="AB20" s="575" t="str">
        <f>IF(AND('R. Seguridad de la Información'!$N$63="Alta",'R. Seguridad de la Información'!$R$63="Mayor"),CONCATENATE("R",'R. Seguridad de la Información'!$A$63),"")</f>
        <v/>
      </c>
      <c r="AC20" s="572"/>
      <c r="AD20" s="570" t="e">
        <f>IF(AND('R. Seguridad de la Información'!#REF!="Alta",'R. Seguridad de la Información'!#REF!="Mayor"),CONCATENATE("R",'R. Seguridad de la Información'!#REF!),"")</f>
        <v>#REF!</v>
      </c>
      <c r="AE20" s="570"/>
      <c r="AF20" s="570" t="str">
        <f>IF(AND('R. Seguridad de la Información'!$N$73="Alta",'R. Seguridad de la Información'!$R$73="Mayor"),CONCATENATE("R",'R. Seguridad de la Información'!$A$73),"")</f>
        <v/>
      </c>
      <c r="AG20" s="571"/>
      <c r="AH20" s="583" t="str">
        <f>IF(AND('R. Seguridad de la Información'!$N$63="Alta",'R. Seguridad de la Información'!$R$63="Catastrófico"),CONCATENATE("R",'R. Seguridad de la Información'!$A$63),"")</f>
        <v/>
      </c>
      <c r="AI20" s="584"/>
      <c r="AJ20" s="584" t="e">
        <f>IF(AND('R. Seguridad de la Información'!#REF!="Alta",'R. Seguridad de la Información'!#REF!="Catastrófico"),CONCATENATE("R",'R. Seguridad de la Información'!#REF!),"")</f>
        <v>#REF!</v>
      </c>
      <c r="AK20" s="584"/>
      <c r="AL20" s="584" t="str">
        <f>IF(AND('R. Seguridad de la Información'!$N$73="Alta",'R. Seguridad de la Información'!$R$73="Catastrófico"),CONCATENATE("R",'R. Seguridad de la Información'!$A$73),"")</f>
        <v/>
      </c>
      <c r="AM20" s="585"/>
      <c r="AN20" s="75"/>
      <c r="AO20" s="537"/>
      <c r="AP20" s="538"/>
      <c r="AQ20" s="538"/>
      <c r="AR20" s="538"/>
      <c r="AS20" s="538"/>
      <c r="AT20" s="539"/>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523"/>
      <c r="C21" s="523"/>
      <c r="D21" s="524"/>
      <c r="E21" s="567"/>
      <c r="F21" s="568"/>
      <c r="G21" s="568"/>
      <c r="H21" s="568"/>
      <c r="I21" s="568"/>
      <c r="J21" s="595"/>
      <c r="K21" s="596"/>
      <c r="L21" s="596"/>
      <c r="M21" s="596"/>
      <c r="N21" s="596"/>
      <c r="O21" s="597"/>
      <c r="P21" s="595"/>
      <c r="Q21" s="596"/>
      <c r="R21" s="596"/>
      <c r="S21" s="596"/>
      <c r="T21" s="596"/>
      <c r="U21" s="597"/>
      <c r="V21" s="580"/>
      <c r="W21" s="581"/>
      <c r="X21" s="581"/>
      <c r="Y21" s="581"/>
      <c r="Z21" s="581"/>
      <c r="AA21" s="582"/>
      <c r="AB21" s="580"/>
      <c r="AC21" s="581"/>
      <c r="AD21" s="581"/>
      <c r="AE21" s="581"/>
      <c r="AF21" s="581"/>
      <c r="AG21" s="582"/>
      <c r="AH21" s="586"/>
      <c r="AI21" s="587"/>
      <c r="AJ21" s="587"/>
      <c r="AK21" s="587"/>
      <c r="AL21" s="587"/>
      <c r="AM21" s="588"/>
      <c r="AN21" s="75"/>
      <c r="AO21" s="540"/>
      <c r="AP21" s="541"/>
      <c r="AQ21" s="541"/>
      <c r="AR21" s="541"/>
      <c r="AS21" s="541"/>
      <c r="AT21" s="542"/>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523"/>
      <c r="C22" s="523"/>
      <c r="D22" s="524"/>
      <c r="E22" s="561" t="s">
        <v>106</v>
      </c>
      <c r="F22" s="562"/>
      <c r="G22" s="562"/>
      <c r="H22" s="562"/>
      <c r="I22" s="563"/>
      <c r="J22" s="598" t="str">
        <f>IF(AND('R. Seguridad de la Información'!$N$9="Media",'R. Seguridad de la Información'!$R$9="Leve"),CONCATENATE("R",'R. Seguridad de la Información'!$A$9),"")</f>
        <v/>
      </c>
      <c r="K22" s="599"/>
      <c r="L22" s="599" t="str">
        <f>IF(AND('R. Seguridad de la Información'!$N$15="Media",'R. Seguridad de la Información'!$R$15="Leve"),CONCATENATE("R",'R. Seguridad de la Información'!$A$15),"")</f>
        <v/>
      </c>
      <c r="M22" s="599"/>
      <c r="N22" s="599" t="str">
        <f>IF(AND('R. Seguridad de la Información'!$N$21="Media",'R. Seguridad de la Información'!$R$21="Leve"),CONCATENATE("R",'R. Seguridad de la Información'!$A$21),"")</f>
        <v/>
      </c>
      <c r="O22" s="600"/>
      <c r="P22" s="598" t="str">
        <f>IF(AND('R. Seguridad de la Información'!$N$9="Media",'R. Seguridad de la Información'!$R$9="Menor"),CONCATENATE("R",'R. Seguridad de la Información'!$A$9),"")</f>
        <v/>
      </c>
      <c r="Q22" s="599"/>
      <c r="R22" s="599" t="str">
        <f>IF(AND('R. Seguridad de la Información'!$N$15="Media",'R. Seguridad de la Información'!$R$15="Menor"),CONCATENATE("R",'R. Seguridad de la Información'!$A$15),"")</f>
        <v/>
      </c>
      <c r="S22" s="599"/>
      <c r="T22" s="599" t="str">
        <f>IF(AND('R. Seguridad de la Información'!$N$21="Media",'R. Seguridad de la Información'!$R$21="Menor"),CONCATENATE("R",'R. Seguridad de la Información'!$A$21),"")</f>
        <v/>
      </c>
      <c r="U22" s="600"/>
      <c r="V22" s="598" t="str">
        <f>IF(AND('R. Seguridad de la Información'!$N$9="Media",'R. Seguridad de la Información'!$R$9="Moderado"),CONCATENATE("R",'R. Seguridad de la Información'!$A$9),"")</f>
        <v/>
      </c>
      <c r="W22" s="599"/>
      <c r="X22" s="599" t="str">
        <f>IF(AND('R. Seguridad de la Información'!$N$15="Media",'R. Seguridad de la Información'!$R$15="Moderado"),CONCATENATE("R",'R. Seguridad de la Información'!$A$15),"")</f>
        <v/>
      </c>
      <c r="Y22" s="599"/>
      <c r="Z22" s="599" t="str">
        <f>IF(AND('R. Seguridad de la Información'!$N$21="Media",'R. Seguridad de la Información'!$R$21="Moderado"),CONCATENATE("R",'R. Seguridad de la Información'!$A$21),"")</f>
        <v/>
      </c>
      <c r="AA22" s="600"/>
      <c r="AB22" s="573" t="str">
        <f>IF(AND('R. Seguridad de la Información'!$N$9="Media",'R. Seguridad de la Información'!$R$9="Mayor"),CONCATENATE("R",'R. Seguridad de la Información'!$A$9),"")</f>
        <v/>
      </c>
      <c r="AC22" s="574"/>
      <c r="AD22" s="574" t="str">
        <f>IF(AND('R. Seguridad de la Información'!$N$15="Media",'R. Seguridad de la Información'!$R$15="Mayor"),CONCATENATE("R",'R. Seguridad de la Información'!$A$15),"")</f>
        <v/>
      </c>
      <c r="AE22" s="574"/>
      <c r="AF22" s="574" t="str">
        <f>IF(AND('R. Seguridad de la Información'!$N$21="Media",'R. Seguridad de la Información'!$R$21="Mayor"),CONCATENATE("R",'R. Seguridad de la Información'!$A$21),"")</f>
        <v/>
      </c>
      <c r="AG22" s="576"/>
      <c r="AH22" s="589" t="str">
        <f>IF(AND('R. Seguridad de la Información'!$N$9="Media",'R. Seguridad de la Información'!$R$9="Catastrófico"),CONCATENATE("R",'R. Seguridad de la Información'!$A$9),"")</f>
        <v/>
      </c>
      <c r="AI22" s="590"/>
      <c r="AJ22" s="590" t="str">
        <f>IF(AND('R. Seguridad de la Información'!$N$15="Media",'R. Seguridad de la Información'!$R$15="Catastrófico"),CONCATENATE("R",'R. Seguridad de la Información'!$A$15),"")</f>
        <v/>
      </c>
      <c r="AK22" s="590"/>
      <c r="AL22" s="590" t="str">
        <f>IF(AND('R. Seguridad de la Información'!$N$21="Media",'R. Seguridad de la Información'!$R$21="Catastrófico"),CONCATENATE("R",'R. Seguridad de la Información'!$A$21),"")</f>
        <v/>
      </c>
      <c r="AM22" s="591"/>
      <c r="AN22" s="75"/>
      <c r="AO22" s="543" t="s">
        <v>71</v>
      </c>
      <c r="AP22" s="544"/>
      <c r="AQ22" s="544"/>
      <c r="AR22" s="544"/>
      <c r="AS22" s="544"/>
      <c r="AT22" s="54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523"/>
      <c r="C23" s="523"/>
      <c r="D23" s="524"/>
      <c r="E23" s="564"/>
      <c r="F23" s="565"/>
      <c r="G23" s="565"/>
      <c r="H23" s="565"/>
      <c r="I23" s="566"/>
      <c r="J23" s="592"/>
      <c r="K23" s="593"/>
      <c r="L23" s="593"/>
      <c r="M23" s="593"/>
      <c r="N23" s="593"/>
      <c r="O23" s="594"/>
      <c r="P23" s="592"/>
      <c r="Q23" s="593"/>
      <c r="R23" s="593"/>
      <c r="S23" s="593"/>
      <c r="T23" s="593"/>
      <c r="U23" s="594"/>
      <c r="V23" s="592"/>
      <c r="W23" s="593"/>
      <c r="X23" s="593"/>
      <c r="Y23" s="593"/>
      <c r="Z23" s="593"/>
      <c r="AA23" s="594"/>
      <c r="AB23" s="575"/>
      <c r="AC23" s="572"/>
      <c r="AD23" s="572"/>
      <c r="AE23" s="572"/>
      <c r="AF23" s="572"/>
      <c r="AG23" s="571"/>
      <c r="AH23" s="583"/>
      <c r="AI23" s="584"/>
      <c r="AJ23" s="584"/>
      <c r="AK23" s="584"/>
      <c r="AL23" s="584"/>
      <c r="AM23" s="585"/>
      <c r="AN23" s="75"/>
      <c r="AO23" s="546"/>
      <c r="AP23" s="547"/>
      <c r="AQ23" s="547"/>
      <c r="AR23" s="547"/>
      <c r="AS23" s="547"/>
      <c r="AT23" s="548"/>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523"/>
      <c r="C24" s="523"/>
      <c r="D24" s="524"/>
      <c r="E24" s="564"/>
      <c r="F24" s="565"/>
      <c r="G24" s="565"/>
      <c r="H24" s="565"/>
      <c r="I24" s="566"/>
      <c r="J24" s="592" t="str">
        <f>IF(AND('R. Seguridad de la Información'!$N$27="Media",'R. Seguridad de la Información'!$R$27="Leve"),CONCATENATE("R",'R. Seguridad de la Información'!$A$27),"")</f>
        <v/>
      </c>
      <c r="K24" s="593"/>
      <c r="L24" s="593" t="str">
        <f>IF(AND('R. Seguridad de la Información'!$N$33="Media",'R. Seguridad de la Información'!$R$33="Leve"),CONCATENATE("R",'R. Seguridad de la Información'!$A$33),"")</f>
        <v/>
      </c>
      <c r="M24" s="593"/>
      <c r="N24" s="593" t="str">
        <f>IF(AND('R. Seguridad de la Información'!$N$39="Media",'R. Seguridad de la Información'!$R$39="Leve"),CONCATENATE("R",'R. Seguridad de la Información'!$A$39),"")</f>
        <v/>
      </c>
      <c r="O24" s="594"/>
      <c r="P24" s="592" t="str">
        <f>IF(AND('R. Seguridad de la Información'!$N$27="Media",'R. Seguridad de la Información'!$R$27="Menor"),CONCATENATE("R",'R. Seguridad de la Información'!$A$27),"")</f>
        <v/>
      </c>
      <c r="Q24" s="593"/>
      <c r="R24" s="593" t="str">
        <f>IF(AND('R. Seguridad de la Información'!$N$33="Media",'R. Seguridad de la Información'!$R$33="Menor"),CONCATENATE("R",'R. Seguridad de la Información'!$A$33),"")</f>
        <v/>
      </c>
      <c r="S24" s="593"/>
      <c r="T24" s="593" t="str">
        <f>IF(AND('R. Seguridad de la Información'!$N$39="Media",'R. Seguridad de la Información'!$R$39="Menor"),CONCATENATE("R",'R. Seguridad de la Información'!$A$39),"")</f>
        <v/>
      </c>
      <c r="U24" s="594"/>
      <c r="V24" s="592" t="str">
        <f>IF(AND('R. Seguridad de la Información'!$N$27="Media",'R. Seguridad de la Información'!$R$27="Moderado"),CONCATENATE("R",'R. Seguridad de la Información'!$A$27),"")</f>
        <v/>
      </c>
      <c r="W24" s="593"/>
      <c r="X24" s="593" t="str">
        <f>IF(AND('R. Seguridad de la Información'!$N$33="Media",'R. Seguridad de la Información'!$R$33="Moderado"),CONCATENATE("R",'R. Seguridad de la Información'!$A$33),"")</f>
        <v/>
      </c>
      <c r="Y24" s="593"/>
      <c r="Z24" s="593" t="str">
        <f>IF(AND('R. Seguridad de la Información'!$N$39="Media",'R. Seguridad de la Información'!$R$39="Moderado"),CONCATENATE("R",'R. Seguridad de la Información'!$A$39),"")</f>
        <v/>
      </c>
      <c r="AA24" s="594"/>
      <c r="AB24" s="575" t="str">
        <f>IF(AND('R. Seguridad de la Información'!$N$27="Media",'R. Seguridad de la Información'!$R$27="Mayor"),CONCATENATE("R",'R. Seguridad de la Información'!$A$27),"")</f>
        <v/>
      </c>
      <c r="AC24" s="572"/>
      <c r="AD24" s="570" t="str">
        <f>IF(AND('R. Seguridad de la Información'!$N$33="Media",'R. Seguridad de la Información'!$R$33="Mayor"),CONCATENATE("R",'R. Seguridad de la Información'!$A$33),"")</f>
        <v/>
      </c>
      <c r="AE24" s="570"/>
      <c r="AF24" s="570" t="str">
        <f>IF(AND('R. Seguridad de la Información'!$N$39="Media",'R. Seguridad de la Información'!$R$39="Mayor"),CONCATENATE("R",'R. Seguridad de la Información'!$A$39),"")</f>
        <v/>
      </c>
      <c r="AG24" s="571"/>
      <c r="AH24" s="583" t="str">
        <f>IF(AND('R. Seguridad de la Información'!$N$27="Media",'R. Seguridad de la Información'!$R$27="Catastrófico"),CONCATENATE("R",'R. Seguridad de la Información'!$A$27),"")</f>
        <v/>
      </c>
      <c r="AI24" s="584"/>
      <c r="AJ24" s="584" t="str">
        <f>IF(AND('R. Seguridad de la Información'!$N$33="Media",'R. Seguridad de la Información'!$R$33="Catastrófico"),CONCATENATE("R",'R. Seguridad de la Información'!$A$33),"")</f>
        <v/>
      </c>
      <c r="AK24" s="584"/>
      <c r="AL24" s="584" t="str">
        <f>IF(AND('R. Seguridad de la Información'!$N$39="Media",'R. Seguridad de la Información'!$R$39="Catastrófico"),CONCATENATE("R",'R. Seguridad de la Información'!$A$39),"")</f>
        <v/>
      </c>
      <c r="AM24" s="585"/>
      <c r="AN24" s="75"/>
      <c r="AO24" s="546"/>
      <c r="AP24" s="547"/>
      <c r="AQ24" s="547"/>
      <c r="AR24" s="547"/>
      <c r="AS24" s="547"/>
      <c r="AT24" s="548"/>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523"/>
      <c r="C25" s="523"/>
      <c r="D25" s="524"/>
      <c r="E25" s="564"/>
      <c r="F25" s="565"/>
      <c r="G25" s="565"/>
      <c r="H25" s="565"/>
      <c r="I25" s="566"/>
      <c r="J25" s="592"/>
      <c r="K25" s="593"/>
      <c r="L25" s="593"/>
      <c r="M25" s="593"/>
      <c r="N25" s="593"/>
      <c r="O25" s="594"/>
      <c r="P25" s="592"/>
      <c r="Q25" s="593"/>
      <c r="R25" s="593"/>
      <c r="S25" s="593"/>
      <c r="T25" s="593"/>
      <c r="U25" s="594"/>
      <c r="V25" s="592"/>
      <c r="W25" s="593"/>
      <c r="X25" s="593"/>
      <c r="Y25" s="593"/>
      <c r="Z25" s="593"/>
      <c r="AA25" s="594"/>
      <c r="AB25" s="575"/>
      <c r="AC25" s="572"/>
      <c r="AD25" s="570"/>
      <c r="AE25" s="570"/>
      <c r="AF25" s="570"/>
      <c r="AG25" s="571"/>
      <c r="AH25" s="583"/>
      <c r="AI25" s="584"/>
      <c r="AJ25" s="584"/>
      <c r="AK25" s="584"/>
      <c r="AL25" s="584"/>
      <c r="AM25" s="585"/>
      <c r="AN25" s="75"/>
      <c r="AO25" s="546"/>
      <c r="AP25" s="547"/>
      <c r="AQ25" s="547"/>
      <c r="AR25" s="547"/>
      <c r="AS25" s="547"/>
      <c r="AT25" s="548"/>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523"/>
      <c r="C26" s="523"/>
      <c r="D26" s="524"/>
      <c r="E26" s="564"/>
      <c r="F26" s="565"/>
      <c r="G26" s="565"/>
      <c r="H26" s="565"/>
      <c r="I26" s="566"/>
      <c r="J26" s="592" t="str">
        <f>IF(AND('R. Seguridad de la Información'!$N$45="Media",'R. Seguridad de la Información'!$R$45="Leve"),CONCATENATE("R",'R. Seguridad de la Información'!$A$45),"")</f>
        <v/>
      </c>
      <c r="K26" s="593"/>
      <c r="L26" s="593" t="str">
        <f>IF(AND('R. Seguridad de la Información'!$N$51="Media",'R. Seguridad de la Información'!$R$51="Leve"),CONCATENATE("R",'R. Seguridad de la Información'!$A$51),"")</f>
        <v/>
      </c>
      <c r="M26" s="593"/>
      <c r="N26" s="593" t="str">
        <f>IF(AND('R. Seguridad de la Información'!$N$57="Media",'R. Seguridad de la Información'!$R$57="Leve"),CONCATENATE("R",'R. Seguridad de la Información'!$A$57),"")</f>
        <v/>
      </c>
      <c r="O26" s="594"/>
      <c r="P26" s="592" t="str">
        <f>IF(AND('R. Seguridad de la Información'!$N$45="Media",'R. Seguridad de la Información'!$R$45="Menor"),CONCATENATE("R",'R. Seguridad de la Información'!$A$45),"")</f>
        <v/>
      </c>
      <c r="Q26" s="593"/>
      <c r="R26" s="593" t="str">
        <f>IF(AND('R. Seguridad de la Información'!$N$51="Media",'R. Seguridad de la Información'!$R$51="Menor"),CONCATENATE("R",'R. Seguridad de la Información'!$A$51),"")</f>
        <v/>
      </c>
      <c r="S26" s="593"/>
      <c r="T26" s="593" t="str">
        <f>IF(AND('R. Seguridad de la Información'!$N$57="Media",'R. Seguridad de la Información'!$R$57="Menor"),CONCATENATE("R",'R. Seguridad de la Información'!$A$57),"")</f>
        <v/>
      </c>
      <c r="U26" s="594"/>
      <c r="V26" s="592" t="str">
        <f>IF(AND('R. Seguridad de la Información'!$N$45="Media",'R. Seguridad de la Información'!$R$45="Moderado"),CONCATENATE("R",'R. Seguridad de la Información'!$A$45),"")</f>
        <v/>
      </c>
      <c r="W26" s="593"/>
      <c r="X26" s="593" t="str">
        <f>IF(AND('R. Seguridad de la Información'!$N$51="Media",'R. Seguridad de la Información'!$R$51="Moderado"),CONCATENATE("R",'R. Seguridad de la Información'!$A$51),"")</f>
        <v/>
      </c>
      <c r="Y26" s="593"/>
      <c r="Z26" s="593" t="str">
        <f>IF(AND('R. Seguridad de la Información'!$N$57="Media",'R. Seguridad de la Información'!$R$57="Moderado"),CONCATENATE("R",'R. Seguridad de la Información'!$A$57),"")</f>
        <v/>
      </c>
      <c r="AA26" s="594"/>
      <c r="AB26" s="575" t="str">
        <f>IF(AND('R. Seguridad de la Información'!$N$45="Media",'R. Seguridad de la Información'!$R$45="Mayor"),CONCATENATE("R",'R. Seguridad de la Información'!$A$45),"")</f>
        <v/>
      </c>
      <c r="AC26" s="572"/>
      <c r="AD26" s="570" t="str">
        <f>IF(AND('R. Seguridad de la Información'!$N$51="Media",'R. Seguridad de la Información'!$R$51="Mayor"),CONCATENATE("R",'R. Seguridad de la Información'!$A$51),"")</f>
        <v/>
      </c>
      <c r="AE26" s="570"/>
      <c r="AF26" s="570" t="str">
        <f>IF(AND('R. Seguridad de la Información'!$N$57="Media",'R. Seguridad de la Información'!$R$57="Mayor"),CONCATENATE("R",'R. Seguridad de la Información'!$A$57),"")</f>
        <v/>
      </c>
      <c r="AG26" s="571"/>
      <c r="AH26" s="583" t="str">
        <f>IF(AND('R. Seguridad de la Información'!$N$45="Media",'R. Seguridad de la Información'!$R$45="Catastrófico"),CONCATENATE("R",'R. Seguridad de la Información'!$A$45),"")</f>
        <v/>
      </c>
      <c r="AI26" s="584"/>
      <c r="AJ26" s="584" t="str">
        <f>IF(AND('R. Seguridad de la Información'!$N$51="Media",'R. Seguridad de la Información'!$R$51="Catastrófico"),CONCATENATE("R",'R. Seguridad de la Información'!$A$51),"")</f>
        <v/>
      </c>
      <c r="AK26" s="584"/>
      <c r="AL26" s="584" t="str">
        <f>IF(AND('R. Seguridad de la Información'!$N$57="Media",'R. Seguridad de la Información'!$R$57="Catastrófico"),CONCATENATE("R",'R. Seguridad de la Información'!$A$57),"")</f>
        <v/>
      </c>
      <c r="AM26" s="585"/>
      <c r="AN26" s="75"/>
      <c r="AO26" s="546"/>
      <c r="AP26" s="547"/>
      <c r="AQ26" s="547"/>
      <c r="AR26" s="547"/>
      <c r="AS26" s="547"/>
      <c r="AT26" s="548"/>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523"/>
      <c r="C27" s="523"/>
      <c r="D27" s="524"/>
      <c r="E27" s="564"/>
      <c r="F27" s="565"/>
      <c r="G27" s="565"/>
      <c r="H27" s="565"/>
      <c r="I27" s="566"/>
      <c r="J27" s="592"/>
      <c r="K27" s="593"/>
      <c r="L27" s="593"/>
      <c r="M27" s="593"/>
      <c r="N27" s="593"/>
      <c r="O27" s="594"/>
      <c r="P27" s="592"/>
      <c r="Q27" s="593"/>
      <c r="R27" s="593"/>
      <c r="S27" s="593"/>
      <c r="T27" s="593"/>
      <c r="U27" s="594"/>
      <c r="V27" s="592"/>
      <c r="W27" s="593"/>
      <c r="X27" s="593"/>
      <c r="Y27" s="593"/>
      <c r="Z27" s="593"/>
      <c r="AA27" s="594"/>
      <c r="AB27" s="575"/>
      <c r="AC27" s="572"/>
      <c r="AD27" s="570"/>
      <c r="AE27" s="570"/>
      <c r="AF27" s="570"/>
      <c r="AG27" s="571"/>
      <c r="AH27" s="583"/>
      <c r="AI27" s="584"/>
      <c r="AJ27" s="584"/>
      <c r="AK27" s="584"/>
      <c r="AL27" s="584"/>
      <c r="AM27" s="585"/>
      <c r="AN27" s="75"/>
      <c r="AO27" s="546"/>
      <c r="AP27" s="547"/>
      <c r="AQ27" s="547"/>
      <c r="AR27" s="547"/>
      <c r="AS27" s="547"/>
      <c r="AT27" s="548"/>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523"/>
      <c r="C28" s="523"/>
      <c r="D28" s="524"/>
      <c r="E28" s="564"/>
      <c r="F28" s="565"/>
      <c r="G28" s="565"/>
      <c r="H28" s="565"/>
      <c r="I28" s="566"/>
      <c r="J28" s="592" t="str">
        <f>IF(AND('R. Seguridad de la Información'!$N$63="Media",'R. Seguridad de la Información'!$R$63="Leve"),CONCATENATE("R",'R. Seguridad de la Información'!$A$63),"")</f>
        <v/>
      </c>
      <c r="K28" s="593"/>
      <c r="L28" s="593" t="e">
        <f>IF(AND('R. Seguridad de la Información'!#REF!="Media",'R. Seguridad de la Información'!#REF!="Leve"),CONCATENATE("R",'R. Seguridad de la Información'!#REF!),"")</f>
        <v>#REF!</v>
      </c>
      <c r="M28" s="593"/>
      <c r="N28" s="593" t="str">
        <f>IF(AND('R. Seguridad de la Información'!$N$73="Media",'R. Seguridad de la Información'!$R$73="Leve"),CONCATENATE("R",'R. Seguridad de la Información'!$A$73),"")</f>
        <v/>
      </c>
      <c r="O28" s="594"/>
      <c r="P28" s="592" t="str">
        <f>IF(AND('R. Seguridad de la Información'!$N$63="Media",'R. Seguridad de la Información'!$R$63="Menor"),CONCATENATE("R",'R. Seguridad de la Información'!$A$63),"")</f>
        <v/>
      </c>
      <c r="Q28" s="593"/>
      <c r="R28" s="593" t="e">
        <f>IF(AND('R. Seguridad de la Información'!#REF!="Media",'R. Seguridad de la Información'!#REF!="Menor"),CONCATENATE("R",'R. Seguridad de la Información'!#REF!),"")</f>
        <v>#REF!</v>
      </c>
      <c r="S28" s="593"/>
      <c r="T28" s="593" t="str">
        <f>IF(AND('R. Seguridad de la Información'!$N$73="Media",'R. Seguridad de la Información'!$R$73="Menor"),CONCATENATE("R",'R. Seguridad de la Información'!$A$73),"")</f>
        <v/>
      </c>
      <c r="U28" s="594"/>
      <c r="V28" s="592" t="str">
        <f>IF(AND('R. Seguridad de la Información'!$N$63="Media",'R. Seguridad de la Información'!$R$63="Moderado"),CONCATENATE("R",'R. Seguridad de la Información'!$A$63),"")</f>
        <v/>
      </c>
      <c r="W28" s="593"/>
      <c r="X28" s="593" t="e">
        <f>IF(AND('R. Seguridad de la Información'!#REF!="Media",'R. Seguridad de la Información'!#REF!="Moderado"),CONCATENATE("R",'R. Seguridad de la Información'!#REF!),"")</f>
        <v>#REF!</v>
      </c>
      <c r="Y28" s="593"/>
      <c r="Z28" s="593" t="str">
        <f>IF(AND('R. Seguridad de la Información'!$N$73="Media",'R. Seguridad de la Información'!$R$73="Moderado"),CONCATENATE("R",'R. Seguridad de la Información'!$A$73),"")</f>
        <v/>
      </c>
      <c r="AA28" s="594"/>
      <c r="AB28" s="575" t="str">
        <f>IF(AND('R. Seguridad de la Información'!$N$63="Media",'R. Seguridad de la Información'!$R$63="Mayor"),CONCATENATE("R",'R. Seguridad de la Información'!$A$63),"")</f>
        <v/>
      </c>
      <c r="AC28" s="572"/>
      <c r="AD28" s="570" t="e">
        <f>IF(AND('R. Seguridad de la Información'!#REF!="Media",'R. Seguridad de la Información'!#REF!="Mayor"),CONCATENATE("R",'R. Seguridad de la Información'!#REF!),"")</f>
        <v>#REF!</v>
      </c>
      <c r="AE28" s="570"/>
      <c r="AF28" s="570" t="str">
        <f>IF(AND('R. Seguridad de la Información'!$N$73="Media",'R. Seguridad de la Información'!$R$73="Mayor"),CONCATENATE("R",'R. Seguridad de la Información'!$A$73),"")</f>
        <v/>
      </c>
      <c r="AG28" s="571"/>
      <c r="AH28" s="583" t="str">
        <f>IF(AND('R. Seguridad de la Información'!$N$63="Media",'R. Seguridad de la Información'!$R$63="Catastrófico"),CONCATENATE("R",'R. Seguridad de la Información'!$A$63),"")</f>
        <v/>
      </c>
      <c r="AI28" s="584"/>
      <c r="AJ28" s="584" t="e">
        <f>IF(AND('R. Seguridad de la Información'!#REF!="Media",'R. Seguridad de la Información'!#REF!="Catastrófico"),CONCATENATE("R",'R. Seguridad de la Información'!#REF!),"")</f>
        <v>#REF!</v>
      </c>
      <c r="AK28" s="584"/>
      <c r="AL28" s="584" t="str">
        <f>IF(AND('R. Seguridad de la Información'!$N$73="Media",'R. Seguridad de la Información'!$R$73="Catastrófico"),CONCATENATE("R",'R. Seguridad de la Información'!$A$73),"")</f>
        <v/>
      </c>
      <c r="AM28" s="585"/>
      <c r="AN28" s="75"/>
      <c r="AO28" s="546"/>
      <c r="AP28" s="547"/>
      <c r="AQ28" s="547"/>
      <c r="AR28" s="547"/>
      <c r="AS28" s="547"/>
      <c r="AT28" s="548"/>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523"/>
      <c r="C29" s="523"/>
      <c r="D29" s="524"/>
      <c r="E29" s="567"/>
      <c r="F29" s="568"/>
      <c r="G29" s="568"/>
      <c r="H29" s="568"/>
      <c r="I29" s="569"/>
      <c r="J29" s="592"/>
      <c r="K29" s="593"/>
      <c r="L29" s="593"/>
      <c r="M29" s="593"/>
      <c r="N29" s="593"/>
      <c r="O29" s="594"/>
      <c r="P29" s="595"/>
      <c r="Q29" s="596"/>
      <c r="R29" s="596"/>
      <c r="S29" s="596"/>
      <c r="T29" s="596"/>
      <c r="U29" s="597"/>
      <c r="V29" s="595"/>
      <c r="W29" s="596"/>
      <c r="X29" s="596"/>
      <c r="Y29" s="596"/>
      <c r="Z29" s="596"/>
      <c r="AA29" s="597"/>
      <c r="AB29" s="580"/>
      <c r="AC29" s="581"/>
      <c r="AD29" s="581"/>
      <c r="AE29" s="581"/>
      <c r="AF29" s="581"/>
      <c r="AG29" s="582"/>
      <c r="AH29" s="586"/>
      <c r="AI29" s="587"/>
      <c r="AJ29" s="587"/>
      <c r="AK29" s="587"/>
      <c r="AL29" s="587"/>
      <c r="AM29" s="588"/>
      <c r="AN29" s="75"/>
      <c r="AO29" s="549"/>
      <c r="AP29" s="550"/>
      <c r="AQ29" s="550"/>
      <c r="AR29" s="550"/>
      <c r="AS29" s="550"/>
      <c r="AT29" s="551"/>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523"/>
      <c r="C30" s="523"/>
      <c r="D30" s="524"/>
      <c r="E30" s="561" t="s">
        <v>103</v>
      </c>
      <c r="F30" s="562"/>
      <c r="G30" s="562"/>
      <c r="H30" s="562"/>
      <c r="I30" s="562"/>
      <c r="J30" s="607" t="str">
        <f>IF(AND('R. Seguridad de la Información'!$N$9="Baja",'R. Seguridad de la Información'!$R$9="Leve"),CONCATENATE("R",'R. Seguridad de la Información'!$A$9),"")</f>
        <v/>
      </c>
      <c r="K30" s="608"/>
      <c r="L30" s="608" t="str">
        <f>IF(AND('R. Seguridad de la Información'!$N$15="Baja",'R. Seguridad de la Información'!$R$15="Leve"),CONCATENATE("R",'R. Seguridad de la Información'!$A$15),"")</f>
        <v/>
      </c>
      <c r="M30" s="608"/>
      <c r="N30" s="608" t="str">
        <f>IF(AND('R. Seguridad de la Información'!$N$21="Baja",'R. Seguridad de la Información'!$R$21="Leve"),CONCATENATE("R",'R. Seguridad de la Información'!$A$21),"")</f>
        <v/>
      </c>
      <c r="O30" s="609"/>
      <c r="P30" s="599" t="str">
        <f>IF(AND('R. Seguridad de la Información'!$N$9="Baja",'R. Seguridad de la Información'!$R$9="Menor"),CONCATENATE("R",'R. Seguridad de la Información'!$A$9),"")</f>
        <v/>
      </c>
      <c r="Q30" s="599"/>
      <c r="R30" s="599" t="str">
        <f>IF(AND('R. Seguridad de la Información'!$N$15="Baja",'R. Seguridad de la Información'!$R$15="Menor"),CONCATENATE("R",'R. Seguridad de la Información'!$A$15),"")</f>
        <v/>
      </c>
      <c r="S30" s="599"/>
      <c r="T30" s="599" t="str">
        <f>IF(AND('R. Seguridad de la Información'!$N$21="Baja",'R. Seguridad de la Información'!$R$21="Menor"),CONCATENATE("R",'R. Seguridad de la Información'!$A$21),"")</f>
        <v/>
      </c>
      <c r="U30" s="600"/>
      <c r="V30" s="598" t="str">
        <f>IF(AND('R. Seguridad de la Información'!$N$9="Baja",'R. Seguridad de la Información'!$R$9="Moderado"),CONCATENATE("R",'R. Seguridad de la Información'!$A$9),"")</f>
        <v/>
      </c>
      <c r="W30" s="599"/>
      <c r="X30" s="599" t="str">
        <f>IF(AND('R. Seguridad de la Información'!$N$15="Baja",'R. Seguridad de la Información'!$R$15="Moderado"),CONCATENATE("R",'R. Seguridad de la Información'!$A$15),"")</f>
        <v/>
      </c>
      <c r="Y30" s="599"/>
      <c r="Z30" s="599" t="str">
        <f>IF(AND('R. Seguridad de la Información'!$N$21="Baja",'R. Seguridad de la Información'!$R$21="Moderado"),CONCATENATE("R",'R. Seguridad de la Información'!$A$21),"")</f>
        <v/>
      </c>
      <c r="AA30" s="600"/>
      <c r="AB30" s="573" t="str">
        <f>IF(AND('R. Seguridad de la Información'!$N$9="Baja",'R. Seguridad de la Información'!$R$9="Mayor"),CONCATENATE("R",'R. Seguridad de la Información'!$A$9),"")</f>
        <v/>
      </c>
      <c r="AC30" s="574"/>
      <c r="AD30" s="574" t="str">
        <f>IF(AND('R. Seguridad de la Información'!$N$15="Baja",'R. Seguridad de la Información'!$R$15="Mayor"),CONCATENATE("R",'R. Seguridad de la Información'!$A$15),"")</f>
        <v/>
      </c>
      <c r="AE30" s="574"/>
      <c r="AF30" s="574" t="str">
        <f>IF(AND('R. Seguridad de la Información'!$N$21="Baja",'R. Seguridad de la Información'!$R$21="Mayor"),CONCATENATE("R",'R. Seguridad de la Información'!$A$21),"")</f>
        <v/>
      </c>
      <c r="AG30" s="576"/>
      <c r="AH30" s="589" t="str">
        <f>IF(AND('R. Seguridad de la Información'!$N$9="Baja",'R. Seguridad de la Información'!$R$9="Catastrófico"),CONCATENATE("R",'R. Seguridad de la Información'!$A$9),"")</f>
        <v/>
      </c>
      <c r="AI30" s="590"/>
      <c r="AJ30" s="590" t="str">
        <f>IF(AND('R. Seguridad de la Información'!$N$15="Baja",'R. Seguridad de la Información'!$R$15="Catastrófico"),CONCATENATE("R",'R. Seguridad de la Información'!$A$15),"")</f>
        <v/>
      </c>
      <c r="AK30" s="590"/>
      <c r="AL30" s="590" t="str">
        <f>IF(AND('R. Seguridad de la Información'!$N$21="Baja",'R. Seguridad de la Información'!$R$21="Catastrófico"),CONCATENATE("R",'R. Seguridad de la Información'!$A$21),"")</f>
        <v/>
      </c>
      <c r="AM30" s="591"/>
      <c r="AN30" s="75"/>
      <c r="AO30" s="552" t="s">
        <v>72</v>
      </c>
      <c r="AP30" s="553"/>
      <c r="AQ30" s="553"/>
      <c r="AR30" s="553"/>
      <c r="AS30" s="553"/>
      <c r="AT30" s="554"/>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523"/>
      <c r="C31" s="523"/>
      <c r="D31" s="524"/>
      <c r="E31" s="564"/>
      <c r="F31" s="565"/>
      <c r="G31" s="565"/>
      <c r="H31" s="565"/>
      <c r="I31" s="578"/>
      <c r="J31" s="603"/>
      <c r="K31" s="601"/>
      <c r="L31" s="601"/>
      <c r="M31" s="601"/>
      <c r="N31" s="601"/>
      <c r="O31" s="602"/>
      <c r="P31" s="593"/>
      <c r="Q31" s="593"/>
      <c r="R31" s="593"/>
      <c r="S31" s="593"/>
      <c r="T31" s="593"/>
      <c r="U31" s="594"/>
      <c r="V31" s="592"/>
      <c r="W31" s="593"/>
      <c r="X31" s="593"/>
      <c r="Y31" s="593"/>
      <c r="Z31" s="593"/>
      <c r="AA31" s="594"/>
      <c r="AB31" s="575"/>
      <c r="AC31" s="572"/>
      <c r="AD31" s="572"/>
      <c r="AE31" s="572"/>
      <c r="AF31" s="572"/>
      <c r="AG31" s="571"/>
      <c r="AH31" s="583"/>
      <c r="AI31" s="584"/>
      <c r="AJ31" s="584"/>
      <c r="AK31" s="584"/>
      <c r="AL31" s="584"/>
      <c r="AM31" s="585"/>
      <c r="AN31" s="75"/>
      <c r="AO31" s="555"/>
      <c r="AP31" s="556"/>
      <c r="AQ31" s="556"/>
      <c r="AR31" s="556"/>
      <c r="AS31" s="556"/>
      <c r="AT31" s="557"/>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523"/>
      <c r="C32" s="523"/>
      <c r="D32" s="524"/>
      <c r="E32" s="564"/>
      <c r="F32" s="565"/>
      <c r="G32" s="565"/>
      <c r="H32" s="565"/>
      <c r="I32" s="578"/>
      <c r="J32" s="603" t="str">
        <f>IF(AND('R. Seguridad de la Información'!$N$27="Baja",'R. Seguridad de la Información'!$R$27="Leve"),CONCATENATE("R",'R. Seguridad de la Información'!$A$27),"")</f>
        <v/>
      </c>
      <c r="K32" s="601"/>
      <c r="L32" s="601" t="str">
        <f>IF(AND('R. Seguridad de la Información'!$N$33="Baja",'R. Seguridad de la Información'!$R$33="Leve"),CONCATENATE("R",'R. Seguridad de la Información'!$A$33),"")</f>
        <v/>
      </c>
      <c r="M32" s="601"/>
      <c r="N32" s="601" t="str">
        <f>IF(AND('R. Seguridad de la Información'!$N$39="Baja",'R. Seguridad de la Información'!$R$39="Leve"),CONCATENATE("R",'R. Seguridad de la Información'!$A$39),"")</f>
        <v/>
      </c>
      <c r="O32" s="602"/>
      <c r="P32" s="593" t="str">
        <f>IF(AND('R. Seguridad de la Información'!$N$27="Baja",'R. Seguridad de la Información'!$R$27="Menor"),CONCATENATE("R",'R. Seguridad de la Información'!$A$27),"")</f>
        <v/>
      </c>
      <c r="Q32" s="593"/>
      <c r="R32" s="593" t="str">
        <f>IF(AND('R. Seguridad de la Información'!$N$33="Baja",'R. Seguridad de la Información'!$R$33="Menor"),CONCATENATE("R",'R. Seguridad de la Información'!$A$33),"")</f>
        <v/>
      </c>
      <c r="S32" s="593"/>
      <c r="T32" s="593" t="str">
        <f>IF(AND('R. Seguridad de la Información'!$N$39="Baja",'R. Seguridad de la Información'!$R$39="Menor"),CONCATENATE("R",'R. Seguridad de la Información'!$A$39),"")</f>
        <v/>
      </c>
      <c r="U32" s="594"/>
      <c r="V32" s="592" t="str">
        <f>IF(AND('R. Seguridad de la Información'!$N$27="Baja",'R. Seguridad de la Información'!$R$27="Moderado"),CONCATENATE("R",'R. Seguridad de la Información'!$A$27),"")</f>
        <v/>
      </c>
      <c r="W32" s="593"/>
      <c r="X32" s="593" t="str">
        <f>IF(AND('R. Seguridad de la Información'!$N$33="Baja",'R. Seguridad de la Información'!$R$33="Moderado"),CONCATENATE("R",'R. Seguridad de la Información'!$A$33),"")</f>
        <v/>
      </c>
      <c r="Y32" s="593"/>
      <c r="Z32" s="593" t="str">
        <f>IF(AND('R. Seguridad de la Información'!$N$39="Baja",'R. Seguridad de la Información'!$R$39="Moderado"),CONCATENATE("R",'R. Seguridad de la Información'!$A$39),"")</f>
        <v/>
      </c>
      <c r="AA32" s="594"/>
      <c r="AB32" s="575" t="str">
        <f>IF(AND('R. Seguridad de la Información'!$N$27="Baja",'R. Seguridad de la Información'!$R$27="Mayor"),CONCATENATE("R",'R. Seguridad de la Información'!$A$27),"")</f>
        <v/>
      </c>
      <c r="AC32" s="572"/>
      <c r="AD32" s="570" t="str">
        <f>IF(AND('R. Seguridad de la Información'!$N$33="Baja",'R. Seguridad de la Información'!$R$33="Mayor"),CONCATENATE("R",'R. Seguridad de la Información'!$A$33),"")</f>
        <v/>
      </c>
      <c r="AE32" s="570"/>
      <c r="AF32" s="570" t="str">
        <f>IF(AND('R. Seguridad de la Información'!$N$39="Baja",'R. Seguridad de la Información'!$R$39="Mayor"),CONCATENATE("R",'R. Seguridad de la Información'!$A$39),"")</f>
        <v/>
      </c>
      <c r="AG32" s="571"/>
      <c r="AH32" s="583" t="str">
        <f>IF(AND('R. Seguridad de la Información'!$N$27="Baja",'R. Seguridad de la Información'!$R$27="Catastrófico"),CONCATENATE("R",'R. Seguridad de la Información'!$A$27),"")</f>
        <v/>
      </c>
      <c r="AI32" s="584"/>
      <c r="AJ32" s="584" t="str">
        <f>IF(AND('R. Seguridad de la Información'!$N$33="Baja",'R. Seguridad de la Información'!$R$33="Catastrófico"),CONCATENATE("R",'R. Seguridad de la Información'!$A$33),"")</f>
        <v/>
      </c>
      <c r="AK32" s="584"/>
      <c r="AL32" s="584" t="str">
        <f>IF(AND('R. Seguridad de la Información'!$N$39="Baja",'R. Seguridad de la Información'!$R$39="Catastrófico"),CONCATENATE("R",'R. Seguridad de la Información'!$A$39),"")</f>
        <v/>
      </c>
      <c r="AM32" s="585"/>
      <c r="AN32" s="75"/>
      <c r="AO32" s="555"/>
      <c r="AP32" s="556"/>
      <c r="AQ32" s="556"/>
      <c r="AR32" s="556"/>
      <c r="AS32" s="556"/>
      <c r="AT32" s="557"/>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523"/>
      <c r="C33" s="523"/>
      <c r="D33" s="524"/>
      <c r="E33" s="564"/>
      <c r="F33" s="565"/>
      <c r="G33" s="565"/>
      <c r="H33" s="565"/>
      <c r="I33" s="578"/>
      <c r="J33" s="603"/>
      <c r="K33" s="601"/>
      <c r="L33" s="601"/>
      <c r="M33" s="601"/>
      <c r="N33" s="601"/>
      <c r="O33" s="602"/>
      <c r="P33" s="593"/>
      <c r="Q33" s="593"/>
      <c r="R33" s="593"/>
      <c r="S33" s="593"/>
      <c r="T33" s="593"/>
      <c r="U33" s="594"/>
      <c r="V33" s="592"/>
      <c r="W33" s="593"/>
      <c r="X33" s="593"/>
      <c r="Y33" s="593"/>
      <c r="Z33" s="593"/>
      <c r="AA33" s="594"/>
      <c r="AB33" s="575"/>
      <c r="AC33" s="572"/>
      <c r="AD33" s="570"/>
      <c r="AE33" s="570"/>
      <c r="AF33" s="570"/>
      <c r="AG33" s="571"/>
      <c r="AH33" s="583"/>
      <c r="AI33" s="584"/>
      <c r="AJ33" s="584"/>
      <c r="AK33" s="584"/>
      <c r="AL33" s="584"/>
      <c r="AM33" s="585"/>
      <c r="AN33" s="75"/>
      <c r="AO33" s="555"/>
      <c r="AP33" s="556"/>
      <c r="AQ33" s="556"/>
      <c r="AR33" s="556"/>
      <c r="AS33" s="556"/>
      <c r="AT33" s="557"/>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523"/>
      <c r="C34" s="523"/>
      <c r="D34" s="524"/>
      <c r="E34" s="564"/>
      <c r="F34" s="565"/>
      <c r="G34" s="565"/>
      <c r="H34" s="565"/>
      <c r="I34" s="578"/>
      <c r="J34" s="603" t="str">
        <f>IF(AND('R. Seguridad de la Información'!$N$45="Baja",'R. Seguridad de la Información'!$R$45="Leve"),CONCATENATE("R",'R. Seguridad de la Información'!$A$45),"")</f>
        <v/>
      </c>
      <c r="K34" s="601"/>
      <c r="L34" s="601" t="str">
        <f>IF(AND('R. Seguridad de la Información'!$N$51="Baja",'R. Seguridad de la Información'!$R$51="Leve"),CONCATENATE("R",'R. Seguridad de la Información'!$A$51),"")</f>
        <v/>
      </c>
      <c r="M34" s="601"/>
      <c r="N34" s="601" t="str">
        <f>IF(AND('R. Seguridad de la Información'!$N$57="Baja",'R. Seguridad de la Información'!$R$57="Leve"),CONCATENATE("R",'R. Seguridad de la Información'!$A$57),"")</f>
        <v/>
      </c>
      <c r="O34" s="602"/>
      <c r="P34" s="593" t="str">
        <f>IF(AND('R. Seguridad de la Información'!$N$45="Baja",'R. Seguridad de la Información'!$R$45="Menor"),CONCATENATE("R",'R. Seguridad de la Información'!$A$45),"")</f>
        <v/>
      </c>
      <c r="Q34" s="593"/>
      <c r="R34" s="593" t="str">
        <f>IF(AND('R. Seguridad de la Información'!$N$51="Baja",'R. Seguridad de la Información'!$R$51="Menor"),CONCATENATE("R",'R. Seguridad de la Información'!$A$51),"")</f>
        <v/>
      </c>
      <c r="S34" s="593"/>
      <c r="T34" s="593" t="str">
        <f>IF(AND('R. Seguridad de la Información'!$N$57="Baja",'R. Seguridad de la Información'!$R$57="Menor"),CONCATENATE("R",'R. Seguridad de la Información'!$A$57),"")</f>
        <v/>
      </c>
      <c r="U34" s="594"/>
      <c r="V34" s="592" t="str">
        <f>IF(AND('R. Seguridad de la Información'!$N$45="Baja",'R. Seguridad de la Información'!$R$45="Moderado"),CONCATENATE("R",'R. Seguridad de la Información'!$A$45),"")</f>
        <v/>
      </c>
      <c r="W34" s="593"/>
      <c r="X34" s="593" t="str">
        <f>IF(AND('R. Seguridad de la Información'!$N$51="Baja",'R. Seguridad de la Información'!$R$51="Moderado"),CONCATENATE("R",'R. Seguridad de la Información'!$A$51),"")</f>
        <v/>
      </c>
      <c r="Y34" s="593"/>
      <c r="Z34" s="593" t="str">
        <f>IF(AND('R. Seguridad de la Información'!$N$57="Baja",'R. Seguridad de la Información'!$R$57="Moderado"),CONCATENATE("R",'R. Seguridad de la Información'!$A$57),"")</f>
        <v/>
      </c>
      <c r="AA34" s="594"/>
      <c r="AB34" s="575" t="str">
        <f>IF(AND('R. Seguridad de la Información'!$N$45="Baja",'R. Seguridad de la Información'!$R$45="Mayor"),CONCATENATE("R",'R. Seguridad de la Información'!$A$45),"")</f>
        <v/>
      </c>
      <c r="AC34" s="572"/>
      <c r="AD34" s="570" t="str">
        <f>IF(AND('R. Seguridad de la Información'!$N$51="Baja",'R. Seguridad de la Información'!$R$51="Mayor"),CONCATENATE("R",'R. Seguridad de la Información'!$A$51),"")</f>
        <v/>
      </c>
      <c r="AE34" s="570"/>
      <c r="AF34" s="570" t="str">
        <f>IF(AND('R. Seguridad de la Información'!$N$57="Baja",'R. Seguridad de la Información'!$R$57="Mayor"),CONCATENATE("R",'R. Seguridad de la Información'!$A$57),"")</f>
        <v/>
      </c>
      <c r="AG34" s="571"/>
      <c r="AH34" s="583" t="str">
        <f>IF(AND('R. Seguridad de la Información'!$N$45="Baja",'R. Seguridad de la Información'!$R$45="Catastrófico"),CONCATENATE("R",'R. Seguridad de la Información'!$A$45),"")</f>
        <v/>
      </c>
      <c r="AI34" s="584"/>
      <c r="AJ34" s="584" t="str">
        <f>IF(AND('R. Seguridad de la Información'!$N$51="Baja",'R. Seguridad de la Información'!$R$51="Catastrófico"),CONCATENATE("R",'R. Seguridad de la Información'!$A$51),"")</f>
        <v/>
      </c>
      <c r="AK34" s="584"/>
      <c r="AL34" s="584" t="str">
        <f>IF(AND('R. Seguridad de la Información'!$N$57="Baja",'R. Seguridad de la Información'!$R$57="Catastrófico"),CONCATENATE("R",'R. Seguridad de la Información'!$A$57),"")</f>
        <v/>
      </c>
      <c r="AM34" s="585"/>
      <c r="AN34" s="75"/>
      <c r="AO34" s="555"/>
      <c r="AP34" s="556"/>
      <c r="AQ34" s="556"/>
      <c r="AR34" s="556"/>
      <c r="AS34" s="556"/>
      <c r="AT34" s="557"/>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523"/>
      <c r="C35" s="523"/>
      <c r="D35" s="524"/>
      <c r="E35" s="564"/>
      <c r="F35" s="565"/>
      <c r="G35" s="565"/>
      <c r="H35" s="565"/>
      <c r="I35" s="578"/>
      <c r="J35" s="603"/>
      <c r="K35" s="601"/>
      <c r="L35" s="601"/>
      <c r="M35" s="601"/>
      <c r="N35" s="601"/>
      <c r="O35" s="602"/>
      <c r="P35" s="593"/>
      <c r="Q35" s="593"/>
      <c r="R35" s="593"/>
      <c r="S35" s="593"/>
      <c r="T35" s="593"/>
      <c r="U35" s="594"/>
      <c r="V35" s="592"/>
      <c r="W35" s="593"/>
      <c r="X35" s="593"/>
      <c r="Y35" s="593"/>
      <c r="Z35" s="593"/>
      <c r="AA35" s="594"/>
      <c r="AB35" s="575"/>
      <c r="AC35" s="572"/>
      <c r="AD35" s="570"/>
      <c r="AE35" s="570"/>
      <c r="AF35" s="570"/>
      <c r="AG35" s="571"/>
      <c r="AH35" s="583"/>
      <c r="AI35" s="584"/>
      <c r="AJ35" s="584"/>
      <c r="AK35" s="584"/>
      <c r="AL35" s="584"/>
      <c r="AM35" s="585"/>
      <c r="AN35" s="75"/>
      <c r="AO35" s="555"/>
      <c r="AP35" s="556"/>
      <c r="AQ35" s="556"/>
      <c r="AR35" s="556"/>
      <c r="AS35" s="556"/>
      <c r="AT35" s="557"/>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523"/>
      <c r="C36" s="523"/>
      <c r="D36" s="524"/>
      <c r="E36" s="564"/>
      <c r="F36" s="565"/>
      <c r="G36" s="565"/>
      <c r="H36" s="565"/>
      <c r="I36" s="578"/>
      <c r="J36" s="603" t="str">
        <f>IF(AND('R. Seguridad de la Información'!$N$63="Baja",'R. Seguridad de la Información'!$R$63="Leve"),CONCATENATE("R",'R. Seguridad de la Información'!$A$63),"")</f>
        <v/>
      </c>
      <c r="K36" s="601"/>
      <c r="L36" s="601" t="e">
        <f>IF(AND('R. Seguridad de la Información'!#REF!="Baja",'R. Seguridad de la Información'!#REF!="Leve"),CONCATENATE("R",'R. Seguridad de la Información'!#REF!),"")</f>
        <v>#REF!</v>
      </c>
      <c r="M36" s="601"/>
      <c r="N36" s="601" t="str">
        <f>IF(AND('R. Seguridad de la Información'!$N$73="Baja",'R. Seguridad de la Información'!$R$73="Leve"),CONCATENATE("R",'R. Seguridad de la Información'!$A$73),"")</f>
        <v/>
      </c>
      <c r="O36" s="602"/>
      <c r="P36" s="593" t="str">
        <f>IF(AND('R. Seguridad de la Información'!$N$63="Baja",'R. Seguridad de la Información'!$R$63="Menor"),CONCATENATE("R",'R. Seguridad de la Información'!$A$63),"")</f>
        <v/>
      </c>
      <c r="Q36" s="593"/>
      <c r="R36" s="593" t="e">
        <f>IF(AND('R. Seguridad de la Información'!#REF!="Baja",'R. Seguridad de la Información'!#REF!="Menor"),CONCATENATE("R",'R. Seguridad de la Información'!#REF!),"")</f>
        <v>#REF!</v>
      </c>
      <c r="S36" s="593"/>
      <c r="T36" s="593" t="str">
        <f>IF(AND('R. Seguridad de la Información'!$N$73="Baja",'R. Seguridad de la Información'!$R$73="Menor"),CONCATENATE("R",'R. Seguridad de la Información'!$A$73),"")</f>
        <v/>
      </c>
      <c r="U36" s="594"/>
      <c r="V36" s="592" t="str">
        <f>IF(AND('R. Seguridad de la Información'!$N$63="Baja",'R. Seguridad de la Información'!$R$63="Moderado"),CONCATENATE("R",'R. Seguridad de la Información'!$A$63),"")</f>
        <v/>
      </c>
      <c r="W36" s="593"/>
      <c r="X36" s="593" t="e">
        <f>IF(AND('R. Seguridad de la Información'!#REF!="Baja",'R. Seguridad de la Información'!#REF!="Moderado"),CONCATENATE("R",'R. Seguridad de la Información'!#REF!),"")</f>
        <v>#REF!</v>
      </c>
      <c r="Y36" s="593"/>
      <c r="Z36" s="593" t="str">
        <f>IF(AND('R. Seguridad de la Información'!$N$73="Baja",'R. Seguridad de la Información'!$R$73="Moderado"),CONCATENATE("R",'R. Seguridad de la Información'!$A$73),"")</f>
        <v/>
      </c>
      <c r="AA36" s="594"/>
      <c r="AB36" s="575" t="str">
        <f>IF(AND('R. Seguridad de la Información'!$N$63="Baja",'R. Seguridad de la Información'!$R$63="Mayor"),CONCATENATE("R",'R. Seguridad de la Información'!$A$63),"")</f>
        <v/>
      </c>
      <c r="AC36" s="572"/>
      <c r="AD36" s="570" t="e">
        <f>IF(AND('R. Seguridad de la Información'!#REF!="Baja",'R. Seguridad de la Información'!#REF!="Mayor"),CONCATENATE("R",'R. Seguridad de la Información'!#REF!),"")</f>
        <v>#REF!</v>
      </c>
      <c r="AE36" s="570"/>
      <c r="AF36" s="570" t="str">
        <f>IF(AND('R. Seguridad de la Información'!$N$73="Baja",'R. Seguridad de la Información'!$R$73="Mayor"),CONCATENATE("R",'R. Seguridad de la Información'!$A$73),"")</f>
        <v/>
      </c>
      <c r="AG36" s="571"/>
      <c r="AH36" s="583" t="str">
        <f>IF(AND('R. Seguridad de la Información'!$N$63="Baja",'R. Seguridad de la Información'!$R$63="Catastrófico"),CONCATENATE("R",'R. Seguridad de la Información'!$A$63),"")</f>
        <v/>
      </c>
      <c r="AI36" s="584"/>
      <c r="AJ36" s="584" t="e">
        <f>IF(AND('R. Seguridad de la Información'!#REF!="Baja",'R. Seguridad de la Información'!#REF!="Catastrófico"),CONCATENATE("R",'R. Seguridad de la Información'!#REF!),"")</f>
        <v>#REF!</v>
      </c>
      <c r="AK36" s="584"/>
      <c r="AL36" s="584" t="str">
        <f>IF(AND('R. Seguridad de la Información'!$N$73="Baja",'R. Seguridad de la Información'!$R$73="Catastrófico"),CONCATENATE("R",'R. Seguridad de la Información'!$A$73),"")</f>
        <v/>
      </c>
      <c r="AM36" s="585"/>
      <c r="AN36" s="75"/>
      <c r="AO36" s="555"/>
      <c r="AP36" s="556"/>
      <c r="AQ36" s="556"/>
      <c r="AR36" s="556"/>
      <c r="AS36" s="556"/>
      <c r="AT36" s="557"/>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523"/>
      <c r="C37" s="523"/>
      <c r="D37" s="524"/>
      <c r="E37" s="567"/>
      <c r="F37" s="568"/>
      <c r="G37" s="568"/>
      <c r="H37" s="568"/>
      <c r="I37" s="568"/>
      <c r="J37" s="604"/>
      <c r="K37" s="605"/>
      <c r="L37" s="605"/>
      <c r="M37" s="605"/>
      <c r="N37" s="605"/>
      <c r="O37" s="606"/>
      <c r="P37" s="596"/>
      <c r="Q37" s="596"/>
      <c r="R37" s="596"/>
      <c r="S37" s="596"/>
      <c r="T37" s="596"/>
      <c r="U37" s="597"/>
      <c r="V37" s="595"/>
      <c r="W37" s="596"/>
      <c r="X37" s="596"/>
      <c r="Y37" s="596"/>
      <c r="Z37" s="596"/>
      <c r="AA37" s="597"/>
      <c r="AB37" s="580"/>
      <c r="AC37" s="581"/>
      <c r="AD37" s="581"/>
      <c r="AE37" s="581"/>
      <c r="AF37" s="581"/>
      <c r="AG37" s="582"/>
      <c r="AH37" s="586"/>
      <c r="AI37" s="587"/>
      <c r="AJ37" s="587"/>
      <c r="AK37" s="587"/>
      <c r="AL37" s="587"/>
      <c r="AM37" s="588"/>
      <c r="AN37" s="75"/>
      <c r="AO37" s="558"/>
      <c r="AP37" s="559"/>
      <c r="AQ37" s="559"/>
      <c r="AR37" s="559"/>
      <c r="AS37" s="559"/>
      <c r="AT37" s="560"/>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523"/>
      <c r="C38" s="523"/>
      <c r="D38" s="524"/>
      <c r="E38" s="561" t="s">
        <v>102</v>
      </c>
      <c r="F38" s="562"/>
      <c r="G38" s="562"/>
      <c r="H38" s="562"/>
      <c r="I38" s="563"/>
      <c r="J38" s="607" t="str">
        <f>IF(AND('R. Seguridad de la Información'!$N$9="Muy Baja",'R. Seguridad de la Información'!$R$9="Leve"),CONCATENATE("R",'R. Seguridad de la Información'!$A$9),"")</f>
        <v/>
      </c>
      <c r="K38" s="608"/>
      <c r="L38" s="608" t="str">
        <f>IF(AND('R. Seguridad de la Información'!$N$15="Muy Baja",'R. Seguridad de la Información'!$R$15="Leve"),CONCATENATE("R",'R. Seguridad de la Información'!$A$15),"")</f>
        <v/>
      </c>
      <c r="M38" s="608"/>
      <c r="N38" s="608" t="str">
        <f>IF(AND('R. Seguridad de la Información'!$N$21="Muy Baja",'R. Seguridad de la Información'!$R$21="Leve"),CONCATENATE("R",'R. Seguridad de la Información'!$A$21),"")</f>
        <v/>
      </c>
      <c r="O38" s="609"/>
      <c r="P38" s="607" t="str">
        <f>IF(AND('R. Seguridad de la Información'!$N$9="Muy Baja",'R. Seguridad de la Información'!$R$9="Menor"),CONCATENATE("R",'R. Seguridad de la Información'!$A$9),"")</f>
        <v/>
      </c>
      <c r="Q38" s="608"/>
      <c r="R38" s="608" t="str">
        <f>IF(AND('R. Seguridad de la Información'!$N$15="Muy Baja",'R. Seguridad de la Información'!$R$15="Menor"),CONCATENATE("R",'R. Seguridad de la Información'!$A$15),"")</f>
        <v/>
      </c>
      <c r="S38" s="608"/>
      <c r="T38" s="608" t="str">
        <f>IF(AND('R. Seguridad de la Información'!$N$21="Muy Baja",'R. Seguridad de la Información'!$R$21="Menor"),CONCATENATE("R",'R. Seguridad de la Información'!$A$21),"")</f>
        <v/>
      </c>
      <c r="U38" s="609"/>
      <c r="V38" s="598" t="str">
        <f>IF(AND('R. Seguridad de la Información'!$N$9="Muy Baja",'R. Seguridad de la Información'!$R$9="Moderado"),CONCATENATE("R",'R. Seguridad de la Información'!$A$9),"")</f>
        <v/>
      </c>
      <c r="W38" s="599"/>
      <c r="X38" s="599" t="str">
        <f>IF(AND('R. Seguridad de la Información'!$N$15="Muy Baja",'R. Seguridad de la Información'!$R$15="Moderado"),CONCATENATE("R",'R. Seguridad de la Información'!$A$15),"")</f>
        <v/>
      </c>
      <c r="Y38" s="599"/>
      <c r="Z38" s="599" t="str">
        <f>IF(AND('R. Seguridad de la Información'!$N$21="Muy Baja",'R. Seguridad de la Información'!$R$21="Moderado"),CONCATENATE("R",'R. Seguridad de la Información'!$A$21),"")</f>
        <v/>
      </c>
      <c r="AA38" s="600"/>
      <c r="AB38" s="573" t="str">
        <f>IF(AND('R. Seguridad de la Información'!$N$9="Muy Baja",'R. Seguridad de la Información'!$R$9="Mayor"),CONCATENATE("R",'R. Seguridad de la Información'!$A$9),"")</f>
        <v/>
      </c>
      <c r="AC38" s="574"/>
      <c r="AD38" s="574" t="str">
        <f>IF(AND('R. Seguridad de la Información'!$N$15="Muy Baja",'R. Seguridad de la Información'!$R$15="Mayor"),CONCATENATE("R",'R. Seguridad de la Información'!$A$15),"")</f>
        <v/>
      </c>
      <c r="AE38" s="574"/>
      <c r="AF38" s="574" t="str">
        <f>IF(AND('R. Seguridad de la Información'!$N$21="Muy Baja",'R. Seguridad de la Información'!$R$21="Mayor"),CONCATENATE("R",'R. Seguridad de la Información'!$A$21),"")</f>
        <v/>
      </c>
      <c r="AG38" s="576"/>
      <c r="AH38" s="589" t="str">
        <f>IF(AND('R. Seguridad de la Información'!$N$9="Muy Baja",'R. Seguridad de la Información'!$R$9="Catastrófico"),CONCATENATE("R",'R. Seguridad de la Información'!$A$9),"")</f>
        <v/>
      </c>
      <c r="AI38" s="590"/>
      <c r="AJ38" s="590" t="str">
        <f>IF(AND('R. Seguridad de la Información'!$N$15="Muy Baja",'R. Seguridad de la Información'!$R$15="Catastrófico"),CONCATENATE("R",'R. Seguridad de la Información'!$A$15),"")</f>
        <v/>
      </c>
      <c r="AK38" s="590"/>
      <c r="AL38" s="590" t="str">
        <f>IF(AND('R. Seguridad de la Información'!$N$21="Muy Baja",'R. Seguridad de la Información'!$R$21="Catastrófico"),CONCATENATE("R",'R. Seguridad de la Información'!$A$21),"")</f>
        <v/>
      </c>
      <c r="AM38" s="591"/>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523"/>
      <c r="C39" s="523"/>
      <c r="D39" s="524"/>
      <c r="E39" s="564"/>
      <c r="F39" s="565"/>
      <c r="G39" s="565"/>
      <c r="H39" s="565"/>
      <c r="I39" s="566"/>
      <c r="J39" s="603"/>
      <c r="K39" s="601"/>
      <c r="L39" s="601"/>
      <c r="M39" s="601"/>
      <c r="N39" s="601"/>
      <c r="O39" s="602"/>
      <c r="P39" s="603"/>
      <c r="Q39" s="601"/>
      <c r="R39" s="601"/>
      <c r="S39" s="601"/>
      <c r="T39" s="601"/>
      <c r="U39" s="602"/>
      <c r="V39" s="592"/>
      <c r="W39" s="593"/>
      <c r="X39" s="593"/>
      <c r="Y39" s="593"/>
      <c r="Z39" s="593"/>
      <c r="AA39" s="594"/>
      <c r="AB39" s="575"/>
      <c r="AC39" s="572"/>
      <c r="AD39" s="572"/>
      <c r="AE39" s="572"/>
      <c r="AF39" s="572"/>
      <c r="AG39" s="571"/>
      <c r="AH39" s="583"/>
      <c r="AI39" s="584"/>
      <c r="AJ39" s="584"/>
      <c r="AK39" s="584"/>
      <c r="AL39" s="584"/>
      <c r="AM39" s="58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523"/>
      <c r="C40" s="523"/>
      <c r="D40" s="524"/>
      <c r="E40" s="564"/>
      <c r="F40" s="565"/>
      <c r="G40" s="565"/>
      <c r="H40" s="565"/>
      <c r="I40" s="566"/>
      <c r="J40" s="603" t="str">
        <f>IF(AND('R. Seguridad de la Información'!$N$27="Muy Baja",'R. Seguridad de la Información'!$R$27="Leve"),CONCATENATE("R",'R. Seguridad de la Información'!$A$27),"")</f>
        <v/>
      </c>
      <c r="K40" s="601"/>
      <c r="L40" s="601" t="str">
        <f>IF(AND('R. Seguridad de la Información'!$N$33="Muy Baja",'R. Seguridad de la Información'!$R$33="Leve"),CONCATENATE("R",'R. Seguridad de la Información'!$A$33),"")</f>
        <v/>
      </c>
      <c r="M40" s="601"/>
      <c r="N40" s="601" t="str">
        <f>IF(AND('R. Seguridad de la Información'!$N$39="Muy Baja",'R. Seguridad de la Información'!$R$39="Leve"),CONCATENATE("R",'R. Seguridad de la Información'!$A$39),"")</f>
        <v/>
      </c>
      <c r="O40" s="602"/>
      <c r="P40" s="603" t="str">
        <f>IF(AND('R. Seguridad de la Información'!$N$27="Muy Baja",'R. Seguridad de la Información'!$R$27="Menor"),CONCATENATE("R",'R. Seguridad de la Información'!$A$27),"")</f>
        <v/>
      </c>
      <c r="Q40" s="601"/>
      <c r="R40" s="601" t="str">
        <f>IF(AND('R. Seguridad de la Información'!$N$33="Muy Baja",'R. Seguridad de la Información'!$R$33="Menor"),CONCATENATE("R",'R. Seguridad de la Información'!$A$33),"")</f>
        <v/>
      </c>
      <c r="S40" s="601"/>
      <c r="T40" s="601" t="str">
        <f>IF(AND('R. Seguridad de la Información'!$N$39="Muy Baja",'R. Seguridad de la Información'!$R$39="Menor"),CONCATENATE("R",'R. Seguridad de la Información'!$A$39),"")</f>
        <v/>
      </c>
      <c r="U40" s="602"/>
      <c r="V40" s="592" t="str">
        <f>IF(AND('R. Seguridad de la Información'!$N$27="Muy Baja",'R. Seguridad de la Información'!$R$27="Moderado"),CONCATENATE("R",'R. Seguridad de la Información'!$A$27),"")</f>
        <v/>
      </c>
      <c r="W40" s="593"/>
      <c r="X40" s="593" t="str">
        <f>IF(AND('R. Seguridad de la Información'!$N$33="Muy Baja",'R. Seguridad de la Información'!$R$33="Moderado"),CONCATENATE("R",'R. Seguridad de la Información'!$A$33),"")</f>
        <v/>
      </c>
      <c r="Y40" s="593"/>
      <c r="Z40" s="593" t="str">
        <f>IF(AND('R. Seguridad de la Información'!$N$39="Muy Baja",'R. Seguridad de la Información'!$R$39="Moderado"),CONCATENATE("R",'R. Seguridad de la Información'!$A$39),"")</f>
        <v/>
      </c>
      <c r="AA40" s="594"/>
      <c r="AB40" s="575" t="str">
        <f>IF(AND('R. Seguridad de la Información'!$N$27="Muy Baja",'R. Seguridad de la Información'!$R$27="Mayor"),CONCATENATE("R",'R. Seguridad de la Información'!$A$27),"")</f>
        <v/>
      </c>
      <c r="AC40" s="572"/>
      <c r="AD40" s="570" t="str">
        <f>IF(AND('R. Seguridad de la Información'!$N$33="Muy Baja",'R. Seguridad de la Información'!$R$33="Mayor"),CONCATENATE("R",'R. Seguridad de la Información'!$A$33),"")</f>
        <v/>
      </c>
      <c r="AE40" s="570"/>
      <c r="AF40" s="570" t="str">
        <f>IF(AND('R. Seguridad de la Información'!$N$39="Muy Baja",'R. Seguridad de la Información'!$R$39="Mayor"),CONCATENATE("R",'R. Seguridad de la Información'!$A$39),"")</f>
        <v/>
      </c>
      <c r="AG40" s="571"/>
      <c r="AH40" s="583" t="str">
        <f>IF(AND('R. Seguridad de la Información'!$N$27="Muy Baja",'R. Seguridad de la Información'!$R$27="Catastrófico"),CONCATENATE("R",'R. Seguridad de la Información'!$A$27),"")</f>
        <v/>
      </c>
      <c r="AI40" s="584"/>
      <c r="AJ40" s="584" t="str">
        <f>IF(AND('R. Seguridad de la Información'!$N$33="Muy Baja",'R. Seguridad de la Información'!$R$33="Catastrófico"),CONCATENATE("R",'R. Seguridad de la Información'!$A$33),"")</f>
        <v/>
      </c>
      <c r="AK40" s="584"/>
      <c r="AL40" s="584" t="str">
        <f>IF(AND('R. Seguridad de la Información'!$N$39="Muy Baja",'R. Seguridad de la Información'!$R$39="Catastrófico"),CONCATENATE("R",'R. Seguridad de la Información'!$A$39),"")</f>
        <v/>
      </c>
      <c r="AM40" s="58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523"/>
      <c r="C41" s="523"/>
      <c r="D41" s="524"/>
      <c r="E41" s="564"/>
      <c r="F41" s="565"/>
      <c r="G41" s="565"/>
      <c r="H41" s="565"/>
      <c r="I41" s="566"/>
      <c r="J41" s="603"/>
      <c r="K41" s="601"/>
      <c r="L41" s="601"/>
      <c r="M41" s="601"/>
      <c r="N41" s="601"/>
      <c r="O41" s="602"/>
      <c r="P41" s="603"/>
      <c r="Q41" s="601"/>
      <c r="R41" s="601"/>
      <c r="S41" s="601"/>
      <c r="T41" s="601"/>
      <c r="U41" s="602"/>
      <c r="V41" s="592"/>
      <c r="W41" s="593"/>
      <c r="X41" s="593"/>
      <c r="Y41" s="593"/>
      <c r="Z41" s="593"/>
      <c r="AA41" s="594"/>
      <c r="AB41" s="575"/>
      <c r="AC41" s="572"/>
      <c r="AD41" s="570"/>
      <c r="AE41" s="570"/>
      <c r="AF41" s="570"/>
      <c r="AG41" s="571"/>
      <c r="AH41" s="583"/>
      <c r="AI41" s="584"/>
      <c r="AJ41" s="584"/>
      <c r="AK41" s="584"/>
      <c r="AL41" s="584"/>
      <c r="AM41" s="58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523"/>
      <c r="C42" s="523"/>
      <c r="D42" s="524"/>
      <c r="E42" s="564"/>
      <c r="F42" s="565"/>
      <c r="G42" s="565"/>
      <c r="H42" s="565"/>
      <c r="I42" s="566"/>
      <c r="J42" s="603" t="str">
        <f>IF(AND('R. Seguridad de la Información'!$N$45="Muy Baja",'R. Seguridad de la Información'!$R$45="Leve"),CONCATENATE("R",'R. Seguridad de la Información'!$A$45),"")</f>
        <v/>
      </c>
      <c r="K42" s="601"/>
      <c r="L42" s="601" t="str">
        <f>IF(AND('R. Seguridad de la Información'!$N$51="Muy Baja",'R. Seguridad de la Información'!$R$51="Leve"),CONCATENATE("R",'R. Seguridad de la Información'!$A$51),"")</f>
        <v/>
      </c>
      <c r="M42" s="601"/>
      <c r="N42" s="601" t="str">
        <f>IF(AND('R. Seguridad de la Información'!$N$57="Muy Baja",'R. Seguridad de la Información'!$R$57="Leve"),CONCATENATE("R",'R. Seguridad de la Información'!$A$57),"")</f>
        <v/>
      </c>
      <c r="O42" s="602"/>
      <c r="P42" s="603" t="str">
        <f>IF(AND('R. Seguridad de la Información'!$N$45="Muy Baja",'R. Seguridad de la Información'!$R$45="Menor"),CONCATENATE("R",'R. Seguridad de la Información'!$A$45),"")</f>
        <v/>
      </c>
      <c r="Q42" s="601"/>
      <c r="R42" s="601" t="str">
        <f>IF(AND('R. Seguridad de la Información'!$N$51="Muy Baja",'R. Seguridad de la Información'!$R$51="Menor"),CONCATENATE("R",'R. Seguridad de la Información'!$A$51),"")</f>
        <v/>
      </c>
      <c r="S42" s="601"/>
      <c r="T42" s="601" t="str">
        <f>IF(AND('R. Seguridad de la Información'!$N$57="Muy Baja",'R. Seguridad de la Información'!$R$57="Menor"),CONCATENATE("R",'R. Seguridad de la Información'!$A$57),"")</f>
        <v/>
      </c>
      <c r="U42" s="602"/>
      <c r="V42" s="592" t="str">
        <f>IF(AND('R. Seguridad de la Información'!$N$45="Muy Baja",'R. Seguridad de la Información'!$R$45="Moderado"),CONCATENATE("R",'R. Seguridad de la Información'!$A$45),"")</f>
        <v/>
      </c>
      <c r="W42" s="593"/>
      <c r="X42" s="593" t="str">
        <f>IF(AND('R. Seguridad de la Información'!$N$51="Muy Baja",'R. Seguridad de la Información'!$R$51="Moderado"),CONCATENATE("R",'R. Seguridad de la Información'!$A$51),"")</f>
        <v/>
      </c>
      <c r="Y42" s="593"/>
      <c r="Z42" s="593" t="str">
        <f>IF(AND('R. Seguridad de la Información'!$N$57="Muy Baja",'R. Seguridad de la Información'!$R$57="Moderado"),CONCATENATE("R",'R. Seguridad de la Información'!$A$57),"")</f>
        <v/>
      </c>
      <c r="AA42" s="594"/>
      <c r="AB42" s="575" t="str">
        <f>IF(AND('R. Seguridad de la Información'!$N$45="Muy Baja",'R. Seguridad de la Información'!$R$45="Mayor"),CONCATENATE("R",'R. Seguridad de la Información'!$A$45),"")</f>
        <v/>
      </c>
      <c r="AC42" s="572"/>
      <c r="AD42" s="570" t="str">
        <f>IF(AND('R. Seguridad de la Información'!$N$51="Muy Baja",'R. Seguridad de la Información'!$R$51="Mayor"),CONCATENATE("R",'R. Seguridad de la Información'!$A$51),"")</f>
        <v/>
      </c>
      <c r="AE42" s="570"/>
      <c r="AF42" s="570" t="str">
        <f>IF(AND('R. Seguridad de la Información'!$N$57="Muy Baja",'R. Seguridad de la Información'!$R$57="Mayor"),CONCATENATE("R",'R. Seguridad de la Información'!$A$57),"")</f>
        <v/>
      </c>
      <c r="AG42" s="571"/>
      <c r="AH42" s="583" t="str">
        <f>IF(AND('R. Seguridad de la Información'!$N$45="Muy Baja",'R. Seguridad de la Información'!$R$45="Catastrófico"),CONCATENATE("R",'R. Seguridad de la Información'!$A$45),"")</f>
        <v/>
      </c>
      <c r="AI42" s="584"/>
      <c r="AJ42" s="584" t="str">
        <f>IF(AND('R. Seguridad de la Información'!$N$51="Muy Baja",'R. Seguridad de la Información'!$R$51="Catastrófico"),CONCATENATE("R",'R. Seguridad de la Información'!$A$51),"")</f>
        <v/>
      </c>
      <c r="AK42" s="584"/>
      <c r="AL42" s="584" t="str">
        <f>IF(AND('R. Seguridad de la Información'!$N$57="Muy Baja",'R. Seguridad de la Información'!$R$57="Catastrófico"),CONCATENATE("R",'R. Seguridad de la Información'!$A$57),"")</f>
        <v/>
      </c>
      <c r="AM42" s="58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523"/>
      <c r="C43" s="523"/>
      <c r="D43" s="524"/>
      <c r="E43" s="564"/>
      <c r="F43" s="565"/>
      <c r="G43" s="565"/>
      <c r="H43" s="565"/>
      <c r="I43" s="566"/>
      <c r="J43" s="603"/>
      <c r="K43" s="601"/>
      <c r="L43" s="601"/>
      <c r="M43" s="601"/>
      <c r="N43" s="601"/>
      <c r="O43" s="602"/>
      <c r="P43" s="603"/>
      <c r="Q43" s="601"/>
      <c r="R43" s="601"/>
      <c r="S43" s="601"/>
      <c r="T43" s="601"/>
      <c r="U43" s="602"/>
      <c r="V43" s="592"/>
      <c r="W43" s="593"/>
      <c r="X43" s="593"/>
      <c r="Y43" s="593"/>
      <c r="Z43" s="593"/>
      <c r="AA43" s="594"/>
      <c r="AB43" s="575"/>
      <c r="AC43" s="572"/>
      <c r="AD43" s="570"/>
      <c r="AE43" s="570"/>
      <c r="AF43" s="570"/>
      <c r="AG43" s="571"/>
      <c r="AH43" s="583"/>
      <c r="AI43" s="584"/>
      <c r="AJ43" s="584"/>
      <c r="AK43" s="584"/>
      <c r="AL43" s="584"/>
      <c r="AM43" s="58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523"/>
      <c r="C44" s="523"/>
      <c r="D44" s="524"/>
      <c r="E44" s="564"/>
      <c r="F44" s="565"/>
      <c r="G44" s="565"/>
      <c r="H44" s="565"/>
      <c r="I44" s="566"/>
      <c r="J44" s="603" t="str">
        <f>IF(AND('R. Seguridad de la Información'!$N$63="Muy Baja",'R. Seguridad de la Información'!$R$63="Leve"),CONCATENATE("R",'R. Seguridad de la Información'!$A$63),"")</f>
        <v/>
      </c>
      <c r="K44" s="601"/>
      <c r="L44" s="601" t="e">
        <f>IF(AND('R. Seguridad de la Información'!#REF!="Muy Baja",'R. Seguridad de la Información'!#REF!="Leve"),CONCATENATE("R",'R. Seguridad de la Información'!#REF!),"")</f>
        <v>#REF!</v>
      </c>
      <c r="M44" s="601"/>
      <c r="N44" s="601" t="str">
        <f>IF(AND('R. Seguridad de la Información'!$N$73="Muy Baja",'R. Seguridad de la Información'!$R$73="Leve"),CONCATENATE("R",'R. Seguridad de la Información'!$A$73),"")</f>
        <v/>
      </c>
      <c r="O44" s="602"/>
      <c r="P44" s="603" t="str">
        <f>IF(AND('R. Seguridad de la Información'!$N$63="Muy Baja",'R. Seguridad de la Información'!$R$63="Menor"),CONCATENATE("R",'R. Seguridad de la Información'!$A$63),"")</f>
        <v/>
      </c>
      <c r="Q44" s="601"/>
      <c r="R44" s="601" t="e">
        <f>IF(AND('R. Seguridad de la Información'!#REF!="Muy Baja",'R. Seguridad de la Información'!#REF!="Menor"),CONCATENATE("R",'R. Seguridad de la Información'!#REF!),"")</f>
        <v>#REF!</v>
      </c>
      <c r="S44" s="601"/>
      <c r="T44" s="601" t="str">
        <f>IF(AND('R. Seguridad de la Información'!$N$73="Muy Baja",'R. Seguridad de la Información'!$R$73="Menor"),CONCATENATE("R",'R. Seguridad de la Información'!$A$73),"")</f>
        <v/>
      </c>
      <c r="U44" s="602"/>
      <c r="V44" s="592" t="str">
        <f>IF(AND('R. Seguridad de la Información'!$N$63="Muy Baja",'R. Seguridad de la Información'!$R$63="Moderado"),CONCATENATE("R",'R. Seguridad de la Información'!$A$63),"")</f>
        <v/>
      </c>
      <c r="W44" s="593"/>
      <c r="X44" s="593" t="e">
        <f>IF(AND('R. Seguridad de la Información'!#REF!="Muy Baja",'R. Seguridad de la Información'!#REF!="Moderado"),CONCATENATE("R",'R. Seguridad de la Información'!#REF!),"")</f>
        <v>#REF!</v>
      </c>
      <c r="Y44" s="593"/>
      <c r="Z44" s="593" t="str">
        <f>IF(AND('R. Seguridad de la Información'!$N$73="Muy Baja",'R. Seguridad de la Información'!$R$73="Moderado"),CONCATENATE("R",'R. Seguridad de la Información'!$A$73),"")</f>
        <v/>
      </c>
      <c r="AA44" s="594"/>
      <c r="AB44" s="575" t="str">
        <f>IF(AND('R. Seguridad de la Información'!$N$63="Muy Baja",'R. Seguridad de la Información'!$R$63="Mayor"),CONCATENATE("R",'R. Seguridad de la Información'!$A$63),"")</f>
        <v/>
      </c>
      <c r="AC44" s="572"/>
      <c r="AD44" s="570" t="e">
        <f>IF(AND('R. Seguridad de la Información'!#REF!="Muy Baja",'R. Seguridad de la Información'!#REF!="Mayor"),CONCATENATE("R",'R. Seguridad de la Información'!#REF!),"")</f>
        <v>#REF!</v>
      </c>
      <c r="AE44" s="570"/>
      <c r="AF44" s="570" t="str">
        <f>IF(AND('R. Seguridad de la Información'!$N$73="Muy Baja",'R. Seguridad de la Información'!$R$73="Mayor"),CONCATENATE("R",'R. Seguridad de la Información'!$A$73),"")</f>
        <v/>
      </c>
      <c r="AG44" s="571"/>
      <c r="AH44" s="583" t="str">
        <f>IF(AND('R. Seguridad de la Información'!$N$63="Muy Baja",'R. Seguridad de la Información'!$R$63="Catastrófico"),CONCATENATE("R",'R. Seguridad de la Información'!$A$63),"")</f>
        <v/>
      </c>
      <c r="AI44" s="584"/>
      <c r="AJ44" s="584" t="e">
        <f>IF(AND('R. Seguridad de la Información'!#REF!="Muy Baja",'R. Seguridad de la Información'!#REF!="Catastrófico"),CONCATENATE("R",'R. Seguridad de la Información'!#REF!),"")</f>
        <v>#REF!</v>
      </c>
      <c r="AK44" s="584"/>
      <c r="AL44" s="584" t="str">
        <f>IF(AND('R. Seguridad de la Información'!$N$73="Muy Baja",'R. Seguridad de la Información'!$R$73="Catastrófico"),CONCATENATE("R",'R. Seguridad de la Información'!$A$73),"")</f>
        <v/>
      </c>
      <c r="AM44" s="58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523"/>
      <c r="C45" s="523"/>
      <c r="D45" s="524"/>
      <c r="E45" s="567"/>
      <c r="F45" s="568"/>
      <c r="G45" s="568"/>
      <c r="H45" s="568"/>
      <c r="I45" s="569"/>
      <c r="J45" s="604"/>
      <c r="K45" s="605"/>
      <c r="L45" s="605"/>
      <c r="M45" s="605"/>
      <c r="N45" s="605"/>
      <c r="O45" s="606"/>
      <c r="P45" s="604"/>
      <c r="Q45" s="605"/>
      <c r="R45" s="605"/>
      <c r="S45" s="605"/>
      <c r="T45" s="605"/>
      <c r="U45" s="606"/>
      <c r="V45" s="595"/>
      <c r="W45" s="596"/>
      <c r="X45" s="596"/>
      <c r="Y45" s="596"/>
      <c r="Z45" s="596"/>
      <c r="AA45" s="597"/>
      <c r="AB45" s="580"/>
      <c r="AC45" s="581"/>
      <c r="AD45" s="581"/>
      <c r="AE45" s="581"/>
      <c r="AF45" s="581"/>
      <c r="AG45" s="582"/>
      <c r="AH45" s="586"/>
      <c r="AI45" s="587"/>
      <c r="AJ45" s="587"/>
      <c r="AK45" s="587"/>
      <c r="AL45" s="587"/>
      <c r="AM45" s="588"/>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561" t="s">
        <v>101</v>
      </c>
      <c r="K46" s="562"/>
      <c r="L46" s="562"/>
      <c r="M46" s="562"/>
      <c r="N46" s="562"/>
      <c r="O46" s="563"/>
      <c r="P46" s="561" t="s">
        <v>100</v>
      </c>
      <c r="Q46" s="562"/>
      <c r="R46" s="562"/>
      <c r="S46" s="562"/>
      <c r="T46" s="562"/>
      <c r="U46" s="563"/>
      <c r="V46" s="561" t="s">
        <v>99</v>
      </c>
      <c r="W46" s="562"/>
      <c r="X46" s="562"/>
      <c r="Y46" s="562"/>
      <c r="Z46" s="562"/>
      <c r="AA46" s="563"/>
      <c r="AB46" s="561" t="s">
        <v>98</v>
      </c>
      <c r="AC46" s="579"/>
      <c r="AD46" s="562"/>
      <c r="AE46" s="562"/>
      <c r="AF46" s="562"/>
      <c r="AG46" s="563"/>
      <c r="AH46" s="561" t="s">
        <v>97</v>
      </c>
      <c r="AI46" s="562"/>
      <c r="AJ46" s="562"/>
      <c r="AK46" s="562"/>
      <c r="AL46" s="562"/>
      <c r="AM46" s="563"/>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564"/>
      <c r="K47" s="565"/>
      <c r="L47" s="565"/>
      <c r="M47" s="565"/>
      <c r="N47" s="565"/>
      <c r="O47" s="566"/>
      <c r="P47" s="564"/>
      <c r="Q47" s="565"/>
      <c r="R47" s="565"/>
      <c r="S47" s="565"/>
      <c r="T47" s="565"/>
      <c r="U47" s="566"/>
      <c r="V47" s="564"/>
      <c r="W47" s="565"/>
      <c r="X47" s="565"/>
      <c r="Y47" s="565"/>
      <c r="Z47" s="565"/>
      <c r="AA47" s="566"/>
      <c r="AB47" s="564"/>
      <c r="AC47" s="565"/>
      <c r="AD47" s="565"/>
      <c r="AE47" s="565"/>
      <c r="AF47" s="565"/>
      <c r="AG47" s="566"/>
      <c r="AH47" s="564"/>
      <c r="AI47" s="565"/>
      <c r="AJ47" s="565"/>
      <c r="AK47" s="565"/>
      <c r="AL47" s="565"/>
      <c r="AM47" s="566"/>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564"/>
      <c r="K48" s="565"/>
      <c r="L48" s="565"/>
      <c r="M48" s="565"/>
      <c r="N48" s="565"/>
      <c r="O48" s="566"/>
      <c r="P48" s="564"/>
      <c r="Q48" s="565"/>
      <c r="R48" s="565"/>
      <c r="S48" s="565"/>
      <c r="T48" s="565"/>
      <c r="U48" s="566"/>
      <c r="V48" s="564"/>
      <c r="W48" s="565"/>
      <c r="X48" s="565"/>
      <c r="Y48" s="565"/>
      <c r="Z48" s="565"/>
      <c r="AA48" s="566"/>
      <c r="AB48" s="564"/>
      <c r="AC48" s="565"/>
      <c r="AD48" s="565"/>
      <c r="AE48" s="565"/>
      <c r="AF48" s="565"/>
      <c r="AG48" s="566"/>
      <c r="AH48" s="564"/>
      <c r="AI48" s="565"/>
      <c r="AJ48" s="565"/>
      <c r="AK48" s="565"/>
      <c r="AL48" s="565"/>
      <c r="AM48" s="566"/>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564"/>
      <c r="K49" s="565"/>
      <c r="L49" s="565"/>
      <c r="M49" s="565"/>
      <c r="N49" s="565"/>
      <c r="O49" s="566"/>
      <c r="P49" s="564"/>
      <c r="Q49" s="565"/>
      <c r="R49" s="565"/>
      <c r="S49" s="565"/>
      <c r="T49" s="565"/>
      <c r="U49" s="566"/>
      <c r="V49" s="564"/>
      <c r="W49" s="565"/>
      <c r="X49" s="565"/>
      <c r="Y49" s="565"/>
      <c r="Z49" s="565"/>
      <c r="AA49" s="566"/>
      <c r="AB49" s="564"/>
      <c r="AC49" s="565"/>
      <c r="AD49" s="565"/>
      <c r="AE49" s="565"/>
      <c r="AF49" s="565"/>
      <c r="AG49" s="566"/>
      <c r="AH49" s="564"/>
      <c r="AI49" s="565"/>
      <c r="AJ49" s="565"/>
      <c r="AK49" s="565"/>
      <c r="AL49" s="565"/>
      <c r="AM49" s="566"/>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564"/>
      <c r="K50" s="565"/>
      <c r="L50" s="565"/>
      <c r="M50" s="565"/>
      <c r="N50" s="565"/>
      <c r="O50" s="566"/>
      <c r="P50" s="564"/>
      <c r="Q50" s="565"/>
      <c r="R50" s="565"/>
      <c r="S50" s="565"/>
      <c r="T50" s="565"/>
      <c r="U50" s="566"/>
      <c r="V50" s="564"/>
      <c r="W50" s="565"/>
      <c r="X50" s="565"/>
      <c r="Y50" s="565"/>
      <c r="Z50" s="565"/>
      <c r="AA50" s="566"/>
      <c r="AB50" s="564"/>
      <c r="AC50" s="565"/>
      <c r="AD50" s="565"/>
      <c r="AE50" s="565"/>
      <c r="AF50" s="565"/>
      <c r="AG50" s="566"/>
      <c r="AH50" s="564"/>
      <c r="AI50" s="565"/>
      <c r="AJ50" s="565"/>
      <c r="AK50" s="565"/>
      <c r="AL50" s="565"/>
      <c r="AM50" s="566"/>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567"/>
      <c r="K51" s="568"/>
      <c r="L51" s="568"/>
      <c r="M51" s="568"/>
      <c r="N51" s="568"/>
      <c r="O51" s="569"/>
      <c r="P51" s="567"/>
      <c r="Q51" s="568"/>
      <c r="R51" s="568"/>
      <c r="S51" s="568"/>
      <c r="T51" s="568"/>
      <c r="U51" s="569"/>
      <c r="V51" s="567"/>
      <c r="W51" s="568"/>
      <c r="X51" s="568"/>
      <c r="Y51" s="568"/>
      <c r="Z51" s="568"/>
      <c r="AA51" s="569"/>
      <c r="AB51" s="567"/>
      <c r="AC51" s="568"/>
      <c r="AD51" s="568"/>
      <c r="AE51" s="568"/>
      <c r="AF51" s="568"/>
      <c r="AG51" s="569"/>
      <c r="AH51" s="567"/>
      <c r="AI51" s="568"/>
      <c r="AJ51" s="568"/>
      <c r="AK51" s="568"/>
      <c r="AL51" s="568"/>
      <c r="AM51" s="569"/>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2" sqref="A2"/>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637" t="s">
        <v>140</v>
      </c>
      <c r="C2" s="638"/>
      <c r="D2" s="638"/>
      <c r="E2" s="638"/>
      <c r="F2" s="638"/>
      <c r="G2" s="638"/>
      <c r="H2" s="638"/>
      <c r="I2" s="638"/>
      <c r="J2" s="577" t="s">
        <v>1</v>
      </c>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638"/>
      <c r="C3" s="638"/>
      <c r="D3" s="638"/>
      <c r="E3" s="638"/>
      <c r="F3" s="638"/>
      <c r="G3" s="638"/>
      <c r="H3" s="638"/>
      <c r="I3" s="638"/>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638"/>
      <c r="C4" s="638"/>
      <c r="D4" s="638"/>
      <c r="E4" s="638"/>
      <c r="F4" s="638"/>
      <c r="G4" s="638"/>
      <c r="H4" s="638"/>
      <c r="I4" s="638"/>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77"/>
      <c r="AI4" s="577"/>
      <c r="AJ4" s="577"/>
      <c r="AK4" s="577"/>
      <c r="AL4" s="577"/>
      <c r="AM4" s="577"/>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523" t="s">
        <v>3</v>
      </c>
      <c r="C6" s="523"/>
      <c r="D6" s="524"/>
      <c r="E6" s="620" t="s">
        <v>105</v>
      </c>
      <c r="F6" s="621"/>
      <c r="G6" s="621"/>
      <c r="H6" s="621"/>
      <c r="I6" s="639"/>
      <c r="J6" s="37" t="str">
        <f>IF(AND('R. Seguridad de la Información'!$AE$9="Muy Alta",'R. Seguridad de la Información'!$AG$9="Leve"),CONCATENATE("R1C",'R. Seguridad de la Información'!$U$9),"")</f>
        <v/>
      </c>
      <c r="K6" s="38" t="str">
        <f>IF(AND('R. Seguridad de la Información'!$AE$10="Muy Alta",'R. Seguridad de la Información'!$AG$10="Leve"),CONCATENATE("R1C",'R. Seguridad de la Información'!$U$10),"")</f>
        <v/>
      </c>
      <c r="L6" s="38" t="str">
        <f>IF(AND('R. Seguridad de la Información'!$AE$11="Muy Alta",'R. Seguridad de la Información'!$AG$11="Leve"),CONCATENATE("R1C",'R. Seguridad de la Información'!$U$11),"")</f>
        <v/>
      </c>
      <c r="M6" s="38" t="str">
        <f>IF(AND('R. Seguridad de la Información'!$AE$12="Muy Alta",'R. Seguridad de la Información'!$AG$12="Leve"),CONCATENATE("R1C",'R. Seguridad de la Información'!$U$12),"")</f>
        <v/>
      </c>
      <c r="N6" s="38" t="str">
        <f>IF(AND('R. Seguridad de la Información'!$AE$13="Muy Alta",'R. Seguridad de la Información'!$AG$13="Leve"),CONCATENATE("R1C",'R. Seguridad de la Información'!$U$13),"")</f>
        <v/>
      </c>
      <c r="O6" s="39" t="str">
        <f>IF(AND('R. Seguridad de la Información'!$AE$14="Muy Alta",'R. Seguridad de la Información'!$AG$14="Leve"),CONCATENATE("R1C",'R. Seguridad de la Información'!$U$14),"")</f>
        <v/>
      </c>
      <c r="P6" s="37" t="str">
        <f>IF(AND('R. Seguridad de la Información'!$AE$9="Muy Alta",'R. Seguridad de la Información'!$AG$9="Menor"),CONCATENATE("R1C",'R. Seguridad de la Información'!$U$9),"")</f>
        <v/>
      </c>
      <c r="Q6" s="38" t="str">
        <f>IF(AND('R. Seguridad de la Información'!$AE$10="Muy Alta",'R. Seguridad de la Información'!$AG$10="Menor"),CONCATENATE("R1C",'R. Seguridad de la Información'!$U$10),"")</f>
        <v/>
      </c>
      <c r="R6" s="38" t="str">
        <f>IF(AND('R. Seguridad de la Información'!$AE$11="Muy Alta",'R. Seguridad de la Información'!$AG$11="Menor"),CONCATENATE("R1C",'R. Seguridad de la Información'!$U$11),"")</f>
        <v/>
      </c>
      <c r="S6" s="38" t="str">
        <f>IF(AND('R. Seguridad de la Información'!$AE$12="Muy Alta",'R. Seguridad de la Información'!$AG$12="Menor"),CONCATENATE("R1C",'R. Seguridad de la Información'!$U$12),"")</f>
        <v/>
      </c>
      <c r="T6" s="38" t="str">
        <f>IF(AND('R. Seguridad de la Información'!$AE$13="Muy Alta",'R. Seguridad de la Información'!$AG$13="Menor"),CONCATENATE("R1C",'R. Seguridad de la Información'!$U$13),"")</f>
        <v/>
      </c>
      <c r="U6" s="39" t="str">
        <f>IF(AND('R. Seguridad de la Información'!$AE$14="Muy Alta",'R. Seguridad de la Información'!$AG$14="Menor"),CONCATENATE("R1C",'R. Seguridad de la Información'!$U$14),"")</f>
        <v/>
      </c>
      <c r="V6" s="37" t="str">
        <f>IF(AND('R. Seguridad de la Información'!$AE$9="Muy Alta",'R. Seguridad de la Información'!$AG$9="Moderado"),CONCATENATE("R1C",'R. Seguridad de la Información'!$U$9),"")</f>
        <v/>
      </c>
      <c r="W6" s="38" t="str">
        <f>IF(AND('R. Seguridad de la Información'!$AE$10="Muy Alta",'R. Seguridad de la Información'!$AG$10="Moderado"),CONCATENATE("R1C",'R. Seguridad de la Información'!$U$10),"")</f>
        <v/>
      </c>
      <c r="X6" s="38" t="str">
        <f>IF(AND('R. Seguridad de la Información'!$AE$11="Muy Alta",'R. Seguridad de la Información'!$AG$11="Moderado"),CONCATENATE("R1C",'R. Seguridad de la Información'!$U$11),"")</f>
        <v/>
      </c>
      <c r="Y6" s="38" t="str">
        <f>IF(AND('R. Seguridad de la Información'!$AE$12="Muy Alta",'R. Seguridad de la Información'!$AG$12="Moderado"),CONCATENATE("R1C",'R. Seguridad de la Información'!$U$12),"")</f>
        <v/>
      </c>
      <c r="Z6" s="38" t="str">
        <f>IF(AND('R. Seguridad de la Información'!$AE$13="Muy Alta",'R. Seguridad de la Información'!$AG$13="Moderado"),CONCATENATE("R1C",'R. Seguridad de la Información'!$U$13),"")</f>
        <v/>
      </c>
      <c r="AA6" s="39" t="str">
        <f>IF(AND('R. Seguridad de la Información'!$AE$14="Muy Alta",'R. Seguridad de la Información'!$AG$14="Moderado"),CONCATENATE("R1C",'R. Seguridad de la Información'!$U$14),"")</f>
        <v/>
      </c>
      <c r="AB6" s="37" t="str">
        <f>IF(AND('R. Seguridad de la Información'!$AE$9="Muy Alta",'R. Seguridad de la Información'!$AG$9="Mayor"),CONCATENATE("R1C",'R. Seguridad de la Información'!$U$9),"")</f>
        <v/>
      </c>
      <c r="AC6" s="38" t="str">
        <f>IF(AND('R. Seguridad de la Información'!$AE$10="Muy Alta",'R. Seguridad de la Información'!$AG$10="Mayor"),CONCATENATE("R1C",'R. Seguridad de la Información'!$U$10),"")</f>
        <v/>
      </c>
      <c r="AD6" s="38" t="str">
        <f>IF(AND('R. Seguridad de la Información'!$AE$11="Muy Alta",'R. Seguridad de la Información'!$AG$11="Mayor"),CONCATENATE("R1C",'R. Seguridad de la Información'!$U$11),"")</f>
        <v/>
      </c>
      <c r="AE6" s="38" t="str">
        <f>IF(AND('R. Seguridad de la Información'!$AE$12="Muy Alta",'R. Seguridad de la Información'!$AG$12="Mayor"),CONCATENATE("R1C",'R. Seguridad de la Información'!$U$12),"")</f>
        <v/>
      </c>
      <c r="AF6" s="38" t="str">
        <f>IF(AND('R. Seguridad de la Información'!$AE$13="Muy Alta",'R. Seguridad de la Información'!$AG$13="Mayor"),CONCATENATE("R1C",'R. Seguridad de la Información'!$U$13),"")</f>
        <v/>
      </c>
      <c r="AG6" s="39" t="str">
        <f>IF(AND('R. Seguridad de la Información'!$AE$14="Muy Alta",'R. Seguridad de la Información'!$AG$14="Mayor"),CONCATENATE("R1C",'R. Seguridad de la Información'!$U$14),"")</f>
        <v/>
      </c>
      <c r="AH6" s="40" t="str">
        <f>IF(AND('R. Seguridad de la Información'!$AE$9="Muy Alta",'R. Seguridad de la Información'!$AG$9="Catastrófico"),CONCATENATE("R1C",'R. Seguridad de la Información'!$U$9),"")</f>
        <v/>
      </c>
      <c r="AI6" s="41" t="str">
        <f>IF(AND('R. Seguridad de la Información'!$AE$10="Muy Alta",'R. Seguridad de la Información'!$AG$10="Catastrófico"),CONCATENATE("R1C",'R. Seguridad de la Información'!$U$10),"")</f>
        <v/>
      </c>
      <c r="AJ6" s="41" t="str">
        <f>IF(AND('R. Seguridad de la Información'!$AE$11="Muy Alta",'R. Seguridad de la Información'!$AG$11="Catastrófico"),CONCATENATE("R1C",'R. Seguridad de la Información'!$U$11),"")</f>
        <v/>
      </c>
      <c r="AK6" s="41" t="str">
        <f>IF(AND('R. Seguridad de la Información'!$AE$12="Muy Alta",'R. Seguridad de la Información'!$AG$12="Catastrófico"),CONCATENATE("R1C",'R. Seguridad de la Información'!$U$12),"")</f>
        <v/>
      </c>
      <c r="AL6" s="41" t="str">
        <f>IF(AND('R. Seguridad de la Información'!$AE$13="Muy Alta",'R. Seguridad de la Información'!$AG$13="Catastrófico"),CONCATENATE("R1C",'R. Seguridad de la Información'!$U$13),"")</f>
        <v/>
      </c>
      <c r="AM6" s="42" t="str">
        <f>IF(AND('R. Seguridad de la Información'!$AE$14="Muy Alta",'R. Seguridad de la Información'!$AG$14="Catastrófico"),CONCATENATE("R1C",'R. Seguridad de la Información'!$U$14),"")</f>
        <v/>
      </c>
      <c r="AN6" s="75"/>
      <c r="AO6" s="628" t="s">
        <v>69</v>
      </c>
      <c r="AP6" s="629"/>
      <c r="AQ6" s="629"/>
      <c r="AR6" s="629"/>
      <c r="AS6" s="629"/>
      <c r="AT6" s="630"/>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523"/>
      <c r="C7" s="523"/>
      <c r="D7" s="524"/>
      <c r="E7" s="624"/>
      <c r="F7" s="625"/>
      <c r="G7" s="625"/>
      <c r="H7" s="625"/>
      <c r="I7" s="640"/>
      <c r="J7" s="43" t="str">
        <f>IF(AND('R. Seguridad de la Información'!$AE$15="Muy Alta",'R. Seguridad de la Información'!$AG$15="Leve"),CONCATENATE("R2C",'R. Seguridad de la Información'!$U$15),"")</f>
        <v/>
      </c>
      <c r="K7" s="44" t="str">
        <f>IF(AND('R. Seguridad de la Información'!$AE$16="Muy Alta",'R. Seguridad de la Información'!$AG$16="Leve"),CONCATENATE("R2C",'R. Seguridad de la Información'!$U$16),"")</f>
        <v/>
      </c>
      <c r="L7" s="44" t="str">
        <f>IF(AND('R. Seguridad de la Información'!$AE$17="Muy Alta",'R. Seguridad de la Información'!$AG$17="Leve"),CONCATENATE("R2C",'R. Seguridad de la Información'!$U$17),"")</f>
        <v/>
      </c>
      <c r="M7" s="44" t="str">
        <f>IF(AND('R. Seguridad de la Información'!$AE$18="Muy Alta",'R. Seguridad de la Información'!$AG$18="Leve"),CONCATENATE("R2C",'R. Seguridad de la Información'!$U$18),"")</f>
        <v/>
      </c>
      <c r="N7" s="44" t="str">
        <f>IF(AND('R. Seguridad de la Información'!$AE$19="Muy Alta",'R. Seguridad de la Información'!$AG$19="Leve"),CONCATENATE("R2C",'R. Seguridad de la Información'!$U$19),"")</f>
        <v/>
      </c>
      <c r="O7" s="45" t="str">
        <f>IF(AND('R. Seguridad de la Información'!$AE$20="Muy Alta",'R. Seguridad de la Información'!$AG$20="Leve"),CONCATENATE("R2C",'R. Seguridad de la Información'!$U$20),"")</f>
        <v/>
      </c>
      <c r="P7" s="43" t="str">
        <f>IF(AND('R. Seguridad de la Información'!$AE$15="Muy Alta",'R. Seguridad de la Información'!$AG$15="Menor"),CONCATENATE("R2C",'R. Seguridad de la Información'!$U$15),"")</f>
        <v/>
      </c>
      <c r="Q7" s="44" t="str">
        <f>IF(AND('R. Seguridad de la Información'!$AE$16="Muy Alta",'R. Seguridad de la Información'!$AG$16="Menor"),CONCATENATE("R2C",'R. Seguridad de la Información'!$U$16),"")</f>
        <v/>
      </c>
      <c r="R7" s="44" t="str">
        <f>IF(AND('R. Seguridad de la Información'!$AE$17="Muy Alta",'R. Seguridad de la Información'!$AG$17="Menor"),CONCATENATE("R2C",'R. Seguridad de la Información'!$U$17),"")</f>
        <v/>
      </c>
      <c r="S7" s="44" t="str">
        <f>IF(AND('R. Seguridad de la Información'!$AE$18="Muy Alta",'R. Seguridad de la Información'!$AG$18="Menor"),CONCATENATE("R2C",'R. Seguridad de la Información'!$U$18),"")</f>
        <v/>
      </c>
      <c r="T7" s="44" t="str">
        <f>IF(AND('R. Seguridad de la Información'!$AE$19="Muy Alta",'R. Seguridad de la Información'!$AG$19="Menor"),CONCATENATE("R2C",'R. Seguridad de la Información'!$U$19),"")</f>
        <v/>
      </c>
      <c r="U7" s="45" t="str">
        <f>IF(AND('R. Seguridad de la Información'!$AE$20="Muy Alta",'R. Seguridad de la Información'!$AG$20="Menor"),CONCATENATE("R2C",'R. Seguridad de la Información'!$U$20),"")</f>
        <v/>
      </c>
      <c r="V7" s="43" t="str">
        <f>IF(AND('R. Seguridad de la Información'!$AE$15="Muy Alta",'R. Seguridad de la Información'!$AG$15="Moderado"),CONCATENATE("R2C",'R. Seguridad de la Información'!$U$15),"")</f>
        <v/>
      </c>
      <c r="W7" s="44" t="str">
        <f>IF(AND('R. Seguridad de la Información'!$AE$16="Muy Alta",'R. Seguridad de la Información'!$AG$16="Moderado"),CONCATENATE("R2C",'R. Seguridad de la Información'!$U$16),"")</f>
        <v/>
      </c>
      <c r="X7" s="44" t="str">
        <f>IF(AND('R. Seguridad de la Información'!$AE$17="Muy Alta",'R. Seguridad de la Información'!$AG$17="Moderado"),CONCATENATE("R2C",'R. Seguridad de la Información'!$U$17),"")</f>
        <v/>
      </c>
      <c r="Y7" s="44" t="str">
        <f>IF(AND('R. Seguridad de la Información'!$AE$18="Muy Alta",'R. Seguridad de la Información'!$AG$18="Moderado"),CONCATENATE("R2C",'R. Seguridad de la Información'!$U$18),"")</f>
        <v/>
      </c>
      <c r="Z7" s="44" t="str">
        <f>IF(AND('R. Seguridad de la Información'!$AE$19="Muy Alta",'R. Seguridad de la Información'!$AG$19="Moderado"),CONCATENATE("R2C",'R. Seguridad de la Información'!$U$19),"")</f>
        <v/>
      </c>
      <c r="AA7" s="45" t="str">
        <f>IF(AND('R. Seguridad de la Información'!$AE$20="Muy Alta",'R. Seguridad de la Información'!$AG$20="Moderado"),CONCATENATE("R2C",'R. Seguridad de la Información'!$U$20),"")</f>
        <v/>
      </c>
      <c r="AB7" s="43" t="str">
        <f>IF(AND('R. Seguridad de la Información'!$AE$15="Muy Alta",'R. Seguridad de la Información'!$AG$15="Mayor"),CONCATENATE("R2C",'R. Seguridad de la Información'!$U$15),"")</f>
        <v/>
      </c>
      <c r="AC7" s="44" t="str">
        <f>IF(AND('R. Seguridad de la Información'!$AE$16="Muy Alta",'R. Seguridad de la Información'!$AG$16="Mayor"),CONCATENATE("R2C",'R. Seguridad de la Información'!$U$16),"")</f>
        <v/>
      </c>
      <c r="AD7" s="44" t="str">
        <f>IF(AND('R. Seguridad de la Información'!$AE$17="Muy Alta",'R. Seguridad de la Información'!$AG$17="Mayor"),CONCATENATE("R2C",'R. Seguridad de la Información'!$U$17),"")</f>
        <v/>
      </c>
      <c r="AE7" s="44" t="str">
        <f>IF(AND('R. Seguridad de la Información'!$AE$18="Muy Alta",'R. Seguridad de la Información'!$AG$18="Mayor"),CONCATENATE("R2C",'R. Seguridad de la Información'!$U$18),"")</f>
        <v/>
      </c>
      <c r="AF7" s="44" t="str">
        <f>IF(AND('R. Seguridad de la Información'!$AE$19="Muy Alta",'R. Seguridad de la Información'!$AG$19="Mayor"),CONCATENATE("R2C",'R. Seguridad de la Información'!$U$19),"")</f>
        <v/>
      </c>
      <c r="AG7" s="45" t="str">
        <f>IF(AND('R. Seguridad de la Información'!$AE$20="Muy Alta",'R. Seguridad de la Información'!$AG$20="Mayor"),CONCATENATE("R2C",'R. Seguridad de la Información'!$U$20),"")</f>
        <v/>
      </c>
      <c r="AH7" s="46" t="str">
        <f>IF(AND('R. Seguridad de la Información'!$AE$15="Muy Alta",'R. Seguridad de la Información'!$AG$15="Catastrófico"),CONCATENATE("R2C",'R. Seguridad de la Información'!$U$15),"")</f>
        <v/>
      </c>
      <c r="AI7" s="47" t="str">
        <f>IF(AND('R. Seguridad de la Información'!$AE$16="Muy Alta",'R. Seguridad de la Información'!$AG$16="Catastrófico"),CONCATENATE("R2C",'R. Seguridad de la Información'!$U$16),"")</f>
        <v/>
      </c>
      <c r="AJ7" s="47" t="str">
        <f>IF(AND('R. Seguridad de la Información'!$AE$17="Muy Alta",'R. Seguridad de la Información'!$AG$17="Catastrófico"),CONCATENATE("R2C",'R. Seguridad de la Información'!$U$17),"")</f>
        <v/>
      </c>
      <c r="AK7" s="47" t="str">
        <f>IF(AND('R. Seguridad de la Información'!$AE$18="Muy Alta",'R. Seguridad de la Información'!$AG$18="Catastrófico"),CONCATENATE("R2C",'R. Seguridad de la Información'!$U$18),"")</f>
        <v/>
      </c>
      <c r="AL7" s="47" t="str">
        <f>IF(AND('R. Seguridad de la Información'!$AE$19="Muy Alta",'R. Seguridad de la Información'!$AG$19="Catastrófico"),CONCATENATE("R2C",'R. Seguridad de la Información'!$U$19),"")</f>
        <v/>
      </c>
      <c r="AM7" s="48" t="str">
        <f>IF(AND('R. Seguridad de la Información'!$AE$20="Muy Alta",'R. Seguridad de la Información'!$AG$20="Catastrófico"),CONCATENATE("R2C",'R. Seguridad de la Información'!$U$20),"")</f>
        <v/>
      </c>
      <c r="AN7" s="75"/>
      <c r="AO7" s="631"/>
      <c r="AP7" s="632"/>
      <c r="AQ7" s="632"/>
      <c r="AR7" s="632"/>
      <c r="AS7" s="632"/>
      <c r="AT7" s="633"/>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523"/>
      <c r="C8" s="523"/>
      <c r="D8" s="524"/>
      <c r="E8" s="624"/>
      <c r="F8" s="625"/>
      <c r="G8" s="625"/>
      <c r="H8" s="625"/>
      <c r="I8" s="640"/>
      <c r="J8" s="43" t="str">
        <f>IF(AND('R. Seguridad de la Información'!$AE$21="Muy Alta",'R. Seguridad de la Información'!$AG$21="Leve"),CONCATENATE("R3C",'R. Seguridad de la Información'!$U$21),"")</f>
        <v/>
      </c>
      <c r="K8" s="44" t="str">
        <f>IF(AND('R. Seguridad de la Información'!$AE$22="Muy Alta",'R. Seguridad de la Información'!$AG$22="Leve"),CONCATENATE("R3C",'R. Seguridad de la Información'!$U$22),"")</f>
        <v/>
      </c>
      <c r="L8" s="44" t="str">
        <f>IF(AND('R. Seguridad de la Información'!$AE$23="Muy Alta",'R. Seguridad de la Información'!$AG$23="Leve"),CONCATENATE("R3C",'R. Seguridad de la Información'!$U$23),"")</f>
        <v/>
      </c>
      <c r="M8" s="44" t="str">
        <f>IF(AND('R. Seguridad de la Información'!$AE$24="Muy Alta",'R. Seguridad de la Información'!$AG$24="Leve"),CONCATENATE("R3C",'R. Seguridad de la Información'!$U$24),"")</f>
        <v/>
      </c>
      <c r="N8" s="44" t="str">
        <f>IF(AND('R. Seguridad de la Información'!$AE$25="Muy Alta",'R. Seguridad de la Información'!$AG$25="Leve"),CONCATENATE("R3C",'R. Seguridad de la Información'!$U$25),"")</f>
        <v/>
      </c>
      <c r="O8" s="45" t="str">
        <f>IF(AND('R. Seguridad de la Información'!$AE$26="Muy Alta",'R. Seguridad de la Información'!$AG$26="Leve"),CONCATENATE("R3C",'R. Seguridad de la Información'!$U$26),"")</f>
        <v/>
      </c>
      <c r="P8" s="43" t="str">
        <f>IF(AND('R. Seguridad de la Información'!$AE$21="Muy Alta",'R. Seguridad de la Información'!$AG$21="Menor"),CONCATENATE("R3C",'R. Seguridad de la Información'!$U$21),"")</f>
        <v/>
      </c>
      <c r="Q8" s="44" t="str">
        <f>IF(AND('R. Seguridad de la Información'!$AE$22="Muy Alta",'R. Seguridad de la Información'!$AG$22="Menor"),CONCATENATE("R3C",'R. Seguridad de la Información'!$U$22),"")</f>
        <v/>
      </c>
      <c r="R8" s="44" t="str">
        <f>IF(AND('R. Seguridad de la Información'!$AE$23="Muy Alta",'R. Seguridad de la Información'!$AG$23="Menor"),CONCATENATE("R3C",'R. Seguridad de la Información'!$U$23),"")</f>
        <v/>
      </c>
      <c r="S8" s="44" t="str">
        <f>IF(AND('R. Seguridad de la Información'!$AE$24="Muy Alta",'R. Seguridad de la Información'!$AG$24="Menor"),CONCATENATE("R3C",'R. Seguridad de la Información'!$U$24),"")</f>
        <v/>
      </c>
      <c r="T8" s="44" t="str">
        <f>IF(AND('R. Seguridad de la Información'!$AE$25="Muy Alta",'R. Seguridad de la Información'!$AG$25="Menor"),CONCATENATE("R3C",'R. Seguridad de la Información'!$U$25),"")</f>
        <v/>
      </c>
      <c r="U8" s="45" t="str">
        <f>IF(AND('R. Seguridad de la Información'!$AE$26="Muy Alta",'R. Seguridad de la Información'!$AG$26="Menor"),CONCATENATE("R3C",'R. Seguridad de la Información'!$U$26),"")</f>
        <v/>
      </c>
      <c r="V8" s="43" t="str">
        <f>IF(AND('R. Seguridad de la Información'!$AE$21="Muy Alta",'R. Seguridad de la Información'!$AG$21="Moderado"),CONCATENATE("R3C",'R. Seguridad de la Información'!$U$21),"")</f>
        <v/>
      </c>
      <c r="W8" s="44" t="str">
        <f>IF(AND('R. Seguridad de la Información'!$AE$22="Muy Alta",'R. Seguridad de la Información'!$AG$22="Moderado"),CONCATENATE("R3C",'R. Seguridad de la Información'!$U$22),"")</f>
        <v/>
      </c>
      <c r="X8" s="44" t="str">
        <f>IF(AND('R. Seguridad de la Información'!$AE$23="Muy Alta",'R. Seguridad de la Información'!$AG$23="Moderado"),CONCATENATE("R3C",'R. Seguridad de la Información'!$U$23),"")</f>
        <v/>
      </c>
      <c r="Y8" s="44" t="str">
        <f>IF(AND('R. Seguridad de la Información'!$AE$24="Muy Alta",'R. Seguridad de la Información'!$AG$24="Moderado"),CONCATENATE("R3C",'R. Seguridad de la Información'!$U$24),"")</f>
        <v/>
      </c>
      <c r="Z8" s="44" t="str">
        <f>IF(AND('R. Seguridad de la Información'!$AE$25="Muy Alta",'R. Seguridad de la Información'!$AG$25="Moderado"),CONCATENATE("R3C",'R. Seguridad de la Información'!$U$25),"")</f>
        <v/>
      </c>
      <c r="AA8" s="45" t="str">
        <f>IF(AND('R. Seguridad de la Información'!$AE$26="Muy Alta",'R. Seguridad de la Información'!$AG$26="Moderado"),CONCATENATE("R3C",'R. Seguridad de la Información'!$U$26),"")</f>
        <v/>
      </c>
      <c r="AB8" s="43" t="str">
        <f>IF(AND('R. Seguridad de la Información'!$AE$21="Muy Alta",'R. Seguridad de la Información'!$AG$21="Mayor"),CONCATENATE("R3C",'R. Seguridad de la Información'!$U$21),"")</f>
        <v/>
      </c>
      <c r="AC8" s="44" t="str">
        <f>IF(AND('R. Seguridad de la Información'!$AE$22="Muy Alta",'R. Seguridad de la Información'!$AG$22="Mayor"),CONCATENATE("R3C",'R. Seguridad de la Información'!$U$22),"")</f>
        <v/>
      </c>
      <c r="AD8" s="44" t="str">
        <f>IF(AND('R. Seguridad de la Información'!$AE$23="Muy Alta",'R. Seguridad de la Información'!$AG$23="Mayor"),CONCATENATE("R3C",'R. Seguridad de la Información'!$U$23),"")</f>
        <v/>
      </c>
      <c r="AE8" s="44" t="str">
        <f>IF(AND('R. Seguridad de la Información'!$AE$24="Muy Alta",'R. Seguridad de la Información'!$AG$24="Mayor"),CONCATENATE("R3C",'R. Seguridad de la Información'!$U$24),"")</f>
        <v/>
      </c>
      <c r="AF8" s="44" t="str">
        <f>IF(AND('R. Seguridad de la Información'!$AE$25="Muy Alta",'R. Seguridad de la Información'!$AG$25="Mayor"),CONCATENATE("R3C",'R. Seguridad de la Información'!$U$25),"")</f>
        <v/>
      </c>
      <c r="AG8" s="45" t="str">
        <f>IF(AND('R. Seguridad de la Información'!$AE$26="Muy Alta",'R. Seguridad de la Información'!$AG$26="Mayor"),CONCATENATE("R3C",'R. Seguridad de la Información'!$U$26),"")</f>
        <v/>
      </c>
      <c r="AH8" s="46" t="str">
        <f>IF(AND('R. Seguridad de la Información'!$AE$21="Muy Alta",'R. Seguridad de la Información'!$AG$21="Catastrófico"),CONCATENATE("R3C",'R. Seguridad de la Información'!$U$21),"")</f>
        <v/>
      </c>
      <c r="AI8" s="47" t="str">
        <f>IF(AND('R. Seguridad de la Información'!$AE$22="Muy Alta",'R. Seguridad de la Información'!$AG$22="Catastrófico"),CONCATENATE("R3C",'R. Seguridad de la Información'!$U$22),"")</f>
        <v/>
      </c>
      <c r="AJ8" s="47" t="str">
        <f>IF(AND('R. Seguridad de la Información'!$AE$23="Muy Alta",'R. Seguridad de la Información'!$AG$23="Catastrófico"),CONCATENATE("R3C",'R. Seguridad de la Información'!$U$23),"")</f>
        <v/>
      </c>
      <c r="AK8" s="47" t="str">
        <f>IF(AND('R. Seguridad de la Información'!$AE$24="Muy Alta",'R. Seguridad de la Información'!$AG$24="Catastrófico"),CONCATENATE("R3C",'R. Seguridad de la Información'!$U$24),"")</f>
        <v/>
      </c>
      <c r="AL8" s="47" t="str">
        <f>IF(AND('R. Seguridad de la Información'!$AE$25="Muy Alta",'R. Seguridad de la Información'!$AG$25="Catastrófico"),CONCATENATE("R3C",'R. Seguridad de la Información'!$U$25),"")</f>
        <v/>
      </c>
      <c r="AM8" s="48" t="str">
        <f>IF(AND('R. Seguridad de la Información'!$AE$26="Muy Alta",'R. Seguridad de la Información'!$AG$26="Catastrófico"),CONCATENATE("R3C",'R. Seguridad de la Información'!$U$26),"")</f>
        <v/>
      </c>
      <c r="AN8" s="75"/>
      <c r="AO8" s="631"/>
      <c r="AP8" s="632"/>
      <c r="AQ8" s="632"/>
      <c r="AR8" s="632"/>
      <c r="AS8" s="632"/>
      <c r="AT8" s="633"/>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523"/>
      <c r="C9" s="523"/>
      <c r="D9" s="524"/>
      <c r="E9" s="624"/>
      <c r="F9" s="625"/>
      <c r="G9" s="625"/>
      <c r="H9" s="625"/>
      <c r="I9" s="640"/>
      <c r="J9" s="43" t="str">
        <f>IF(AND('R. Seguridad de la Información'!$AE$27="Muy Alta",'R. Seguridad de la Información'!$AG$27="Leve"),CONCATENATE("R4C",'R. Seguridad de la Información'!$U$27),"")</f>
        <v/>
      </c>
      <c r="K9" s="44" t="str">
        <f>IF(AND('R. Seguridad de la Información'!$AE$28="Muy Alta",'R. Seguridad de la Información'!$AG$28="Leve"),CONCATENATE("R4C",'R. Seguridad de la Información'!$U$28),"")</f>
        <v/>
      </c>
      <c r="L9" s="49" t="str">
        <f>IF(AND('R. Seguridad de la Información'!$AE$29="Muy Alta",'R. Seguridad de la Información'!$AG$29="Leve"),CONCATENATE("R4C",'R. Seguridad de la Información'!$U$29),"")</f>
        <v/>
      </c>
      <c r="M9" s="49" t="str">
        <f>IF(AND('R. Seguridad de la Información'!$AE$30="Muy Alta",'R. Seguridad de la Información'!$AG$30="Leve"),CONCATENATE("R4C",'R. Seguridad de la Información'!$U$30),"")</f>
        <v/>
      </c>
      <c r="N9" s="49" t="str">
        <f>IF(AND('R. Seguridad de la Información'!$AE$31="Muy Alta",'R. Seguridad de la Información'!$AG$31="Leve"),CONCATENATE("R4C",'R. Seguridad de la Información'!$U$31),"")</f>
        <v/>
      </c>
      <c r="O9" s="45" t="str">
        <f>IF(AND('R. Seguridad de la Información'!$AE$32="Muy Alta",'R. Seguridad de la Información'!$AG$32="Leve"),CONCATENATE("R4C",'R. Seguridad de la Información'!$U$32),"")</f>
        <v/>
      </c>
      <c r="P9" s="43" t="str">
        <f>IF(AND('R. Seguridad de la Información'!$AE$27="Muy Alta",'R. Seguridad de la Información'!$AG$27="Menor"),CONCATENATE("R4C",'R. Seguridad de la Información'!$U$27),"")</f>
        <v/>
      </c>
      <c r="Q9" s="44" t="str">
        <f>IF(AND('R. Seguridad de la Información'!$AE$28="Muy Alta",'R. Seguridad de la Información'!$AG$28="Menor"),CONCATENATE("R4C",'R. Seguridad de la Información'!$U$28),"")</f>
        <v/>
      </c>
      <c r="R9" s="49" t="str">
        <f>IF(AND('R. Seguridad de la Información'!$AE$29="Muy Alta",'R. Seguridad de la Información'!$AG$29="Menor"),CONCATENATE("R4C",'R. Seguridad de la Información'!$U$29),"")</f>
        <v/>
      </c>
      <c r="S9" s="49" t="str">
        <f>IF(AND('R. Seguridad de la Información'!$AE$30="Muy Alta",'R. Seguridad de la Información'!$AG$30="Menor"),CONCATENATE("R4C",'R. Seguridad de la Información'!$U$30),"")</f>
        <v/>
      </c>
      <c r="T9" s="49" t="str">
        <f>IF(AND('R. Seguridad de la Información'!$AE$31="Muy Alta",'R. Seguridad de la Información'!$AG$31="Menor"),CONCATENATE("R4C",'R. Seguridad de la Información'!$U$31),"")</f>
        <v/>
      </c>
      <c r="U9" s="45" t="str">
        <f>IF(AND('R. Seguridad de la Información'!$AE$32="Muy Alta",'R. Seguridad de la Información'!$AG$32="Menor"),CONCATENATE("R4C",'R. Seguridad de la Información'!$U$32),"")</f>
        <v/>
      </c>
      <c r="V9" s="43" t="str">
        <f>IF(AND('R. Seguridad de la Información'!$AE$27="Muy Alta",'R. Seguridad de la Información'!$AG$27="Moderado"),CONCATENATE("R4C",'R. Seguridad de la Información'!$U$27),"")</f>
        <v/>
      </c>
      <c r="W9" s="44" t="str">
        <f>IF(AND('R. Seguridad de la Información'!$AE$28="Muy Alta",'R. Seguridad de la Información'!$AG$28="Moderado"),CONCATENATE("R4C",'R. Seguridad de la Información'!$U$28),"")</f>
        <v/>
      </c>
      <c r="X9" s="49" t="str">
        <f>IF(AND('R. Seguridad de la Información'!$AE$29="Muy Alta",'R. Seguridad de la Información'!$AG$29="Moderado"),CONCATENATE("R4C",'R. Seguridad de la Información'!$U$29),"")</f>
        <v/>
      </c>
      <c r="Y9" s="49" t="str">
        <f>IF(AND('R. Seguridad de la Información'!$AE$30="Muy Alta",'R. Seguridad de la Información'!$AG$30="Moderado"),CONCATENATE("R4C",'R. Seguridad de la Información'!$U$30),"")</f>
        <v/>
      </c>
      <c r="Z9" s="49" t="str">
        <f>IF(AND('R. Seguridad de la Información'!$AE$31="Muy Alta",'R. Seguridad de la Información'!$AG$31="Moderado"),CONCATENATE("R4C",'R. Seguridad de la Información'!$U$31),"")</f>
        <v/>
      </c>
      <c r="AA9" s="45" t="str">
        <f>IF(AND('R. Seguridad de la Información'!$AE$32="Muy Alta",'R. Seguridad de la Información'!$AG$32="Moderado"),CONCATENATE("R4C",'R. Seguridad de la Información'!$U$32),"")</f>
        <v/>
      </c>
      <c r="AB9" s="43" t="str">
        <f>IF(AND('R. Seguridad de la Información'!$AE$27="Muy Alta",'R. Seguridad de la Información'!$AG$27="Mayor"),CONCATENATE("R4C",'R. Seguridad de la Información'!$U$27),"")</f>
        <v/>
      </c>
      <c r="AC9" s="44" t="str">
        <f>IF(AND('R. Seguridad de la Información'!$AE$28="Muy Alta",'R. Seguridad de la Información'!$AG$28="Mayor"),CONCATENATE("R4C",'R. Seguridad de la Información'!$U$28),"")</f>
        <v/>
      </c>
      <c r="AD9" s="49" t="str">
        <f>IF(AND('R. Seguridad de la Información'!$AE$29="Muy Alta",'R. Seguridad de la Información'!$AG$29="Mayor"),CONCATENATE("R4C",'R. Seguridad de la Información'!$U$29),"")</f>
        <v/>
      </c>
      <c r="AE9" s="49" t="str">
        <f>IF(AND('R. Seguridad de la Información'!$AE$30="Muy Alta",'R. Seguridad de la Información'!$AG$30="Mayor"),CONCATENATE("R4C",'R. Seguridad de la Información'!$U$30),"")</f>
        <v/>
      </c>
      <c r="AF9" s="49" t="str">
        <f>IF(AND('R. Seguridad de la Información'!$AE$31="Muy Alta",'R. Seguridad de la Información'!$AG$31="Mayor"),CONCATENATE("R4C",'R. Seguridad de la Información'!$U$31),"")</f>
        <v/>
      </c>
      <c r="AG9" s="45" t="str">
        <f>IF(AND('R. Seguridad de la Información'!$AE$32="Muy Alta",'R. Seguridad de la Información'!$AG$32="Mayor"),CONCATENATE("R4C",'R. Seguridad de la Información'!$U$32),"")</f>
        <v/>
      </c>
      <c r="AH9" s="46" t="str">
        <f>IF(AND('R. Seguridad de la Información'!$AE$27="Muy Alta",'R. Seguridad de la Información'!$AG$27="Catastrófico"),CONCATENATE("R4C",'R. Seguridad de la Información'!$U$27),"")</f>
        <v/>
      </c>
      <c r="AI9" s="47" t="str">
        <f>IF(AND('R. Seguridad de la Información'!$AE$28="Muy Alta",'R. Seguridad de la Información'!$AG$28="Catastrófico"),CONCATENATE("R4C",'R. Seguridad de la Información'!$U$28),"")</f>
        <v/>
      </c>
      <c r="AJ9" s="47" t="str">
        <f>IF(AND('R. Seguridad de la Información'!$AE$29="Muy Alta",'R. Seguridad de la Información'!$AG$29="Catastrófico"),CONCATENATE("R4C",'R. Seguridad de la Información'!$U$29),"")</f>
        <v/>
      </c>
      <c r="AK9" s="47" t="str">
        <f>IF(AND('R. Seguridad de la Información'!$AE$30="Muy Alta",'R. Seguridad de la Información'!$AG$30="Catastrófico"),CONCATENATE("R4C",'R. Seguridad de la Información'!$U$30),"")</f>
        <v/>
      </c>
      <c r="AL9" s="47" t="str">
        <f>IF(AND('R. Seguridad de la Información'!$AE$31="Muy Alta",'R. Seguridad de la Información'!$AG$31="Catastrófico"),CONCATENATE("R4C",'R. Seguridad de la Información'!$U$31),"")</f>
        <v/>
      </c>
      <c r="AM9" s="48" t="str">
        <f>IF(AND('R. Seguridad de la Información'!$AE$32="Muy Alta",'R. Seguridad de la Información'!$AG$32="Catastrófico"),CONCATENATE("R4C",'R. Seguridad de la Información'!$U$32),"")</f>
        <v/>
      </c>
      <c r="AN9" s="75"/>
      <c r="AO9" s="631"/>
      <c r="AP9" s="632"/>
      <c r="AQ9" s="632"/>
      <c r="AR9" s="632"/>
      <c r="AS9" s="632"/>
      <c r="AT9" s="633"/>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523"/>
      <c r="C10" s="523"/>
      <c r="D10" s="524"/>
      <c r="E10" s="624"/>
      <c r="F10" s="625"/>
      <c r="G10" s="625"/>
      <c r="H10" s="625"/>
      <c r="I10" s="640"/>
      <c r="J10" s="43" t="str">
        <f>IF(AND('R. Seguridad de la Información'!$AE$33="Muy Alta",'R. Seguridad de la Información'!$AG$33="Leve"),CONCATENATE("R5C",'R. Seguridad de la Información'!$U$33),"")</f>
        <v/>
      </c>
      <c r="K10" s="44" t="str">
        <f>IF(AND('R. Seguridad de la Información'!$AE$34="Muy Alta",'R. Seguridad de la Información'!$AG$34="Leve"),CONCATENATE("R5C",'R. Seguridad de la Información'!$U$34),"")</f>
        <v/>
      </c>
      <c r="L10" s="49" t="str">
        <f>IF(AND('R. Seguridad de la Información'!$AE$35="Muy Alta",'R. Seguridad de la Información'!$AG$35="Leve"),CONCATENATE("R5C",'R. Seguridad de la Información'!$U$35),"")</f>
        <v/>
      </c>
      <c r="M10" s="49" t="str">
        <f>IF(AND('R. Seguridad de la Información'!$AE$36="Muy Alta",'R. Seguridad de la Información'!$AG$36="Leve"),CONCATENATE("R5C",'R. Seguridad de la Información'!$U$36),"")</f>
        <v/>
      </c>
      <c r="N10" s="49" t="str">
        <f>IF(AND('R. Seguridad de la Información'!$AE$37="Muy Alta",'R. Seguridad de la Información'!$AG$37="Leve"),CONCATENATE("R5C",'R. Seguridad de la Información'!$U$37),"")</f>
        <v/>
      </c>
      <c r="O10" s="45" t="str">
        <f>IF(AND('R. Seguridad de la Información'!$AE$38="Muy Alta",'R. Seguridad de la Información'!$AG$38="Leve"),CONCATENATE("R5C",'R. Seguridad de la Información'!$U$38),"")</f>
        <v/>
      </c>
      <c r="P10" s="43" t="str">
        <f>IF(AND('R. Seguridad de la Información'!$AE$33="Muy Alta",'R. Seguridad de la Información'!$AG$33="Menor"),CONCATENATE("R5C",'R. Seguridad de la Información'!$U$33),"")</f>
        <v/>
      </c>
      <c r="Q10" s="44" t="str">
        <f>IF(AND('R. Seguridad de la Información'!$AE$34="Muy Alta",'R. Seguridad de la Información'!$AG$34="Menor"),CONCATENATE("R5C",'R. Seguridad de la Información'!$U$34),"")</f>
        <v/>
      </c>
      <c r="R10" s="49" t="str">
        <f>IF(AND('R. Seguridad de la Información'!$AE$35="Muy Alta",'R. Seguridad de la Información'!$AG$35="Menor"),CONCATENATE("R5C",'R. Seguridad de la Información'!$U$35),"")</f>
        <v/>
      </c>
      <c r="S10" s="49" t="str">
        <f>IF(AND('R. Seguridad de la Información'!$AE$36="Muy Alta",'R. Seguridad de la Información'!$AG$36="Menor"),CONCATENATE("R5C",'R. Seguridad de la Información'!$U$36),"")</f>
        <v/>
      </c>
      <c r="T10" s="49" t="str">
        <f>IF(AND('R. Seguridad de la Información'!$AE$37="Muy Alta",'R. Seguridad de la Información'!$AG$37="Menor"),CONCATENATE("R5C",'R. Seguridad de la Información'!$U$37),"")</f>
        <v/>
      </c>
      <c r="U10" s="45" t="str">
        <f>IF(AND('R. Seguridad de la Información'!$AE$38="Muy Alta",'R. Seguridad de la Información'!$AG$38="Menor"),CONCATENATE("R5C",'R. Seguridad de la Información'!$U$38),"")</f>
        <v/>
      </c>
      <c r="V10" s="43" t="str">
        <f>IF(AND('R. Seguridad de la Información'!$AE$33="Muy Alta",'R. Seguridad de la Información'!$AG$33="Moderado"),CONCATENATE("R5C",'R. Seguridad de la Información'!$U$33),"")</f>
        <v/>
      </c>
      <c r="W10" s="44" t="str">
        <f>IF(AND('R. Seguridad de la Información'!$AE$34="Muy Alta",'R. Seguridad de la Información'!$AG$34="Moderado"),CONCATENATE("R5C",'R. Seguridad de la Información'!$U$34),"")</f>
        <v/>
      </c>
      <c r="X10" s="49" t="str">
        <f>IF(AND('R. Seguridad de la Información'!$AE$35="Muy Alta",'R. Seguridad de la Información'!$AG$35="Moderado"),CONCATENATE("R5C",'R. Seguridad de la Información'!$U$35),"")</f>
        <v/>
      </c>
      <c r="Y10" s="49" t="str">
        <f>IF(AND('R. Seguridad de la Información'!$AE$36="Muy Alta",'R. Seguridad de la Información'!$AG$36="Moderado"),CONCATENATE("R5C",'R. Seguridad de la Información'!$U$36),"")</f>
        <v/>
      </c>
      <c r="Z10" s="49" t="str">
        <f>IF(AND('R. Seguridad de la Información'!$AE$37="Muy Alta",'R. Seguridad de la Información'!$AG$37="Moderado"),CONCATENATE("R5C",'R. Seguridad de la Información'!$U$37),"")</f>
        <v/>
      </c>
      <c r="AA10" s="45" t="str">
        <f>IF(AND('R. Seguridad de la Información'!$AE$38="Muy Alta",'R. Seguridad de la Información'!$AG$38="Moderado"),CONCATENATE("R5C",'R. Seguridad de la Información'!$U$38),"")</f>
        <v/>
      </c>
      <c r="AB10" s="43" t="str">
        <f>IF(AND('R. Seguridad de la Información'!$AE$33="Muy Alta",'R. Seguridad de la Información'!$AG$33="Mayor"),CONCATENATE("R5C",'R. Seguridad de la Información'!$U$33),"")</f>
        <v/>
      </c>
      <c r="AC10" s="44" t="str">
        <f>IF(AND('R. Seguridad de la Información'!$AE$34="Muy Alta",'R. Seguridad de la Información'!$AG$34="Mayor"),CONCATENATE("R5C",'R. Seguridad de la Información'!$U$34),"")</f>
        <v/>
      </c>
      <c r="AD10" s="49" t="str">
        <f>IF(AND('R. Seguridad de la Información'!$AE$35="Muy Alta",'R. Seguridad de la Información'!$AG$35="Mayor"),CONCATENATE("R5C",'R. Seguridad de la Información'!$U$35),"")</f>
        <v/>
      </c>
      <c r="AE10" s="49" t="str">
        <f>IF(AND('R. Seguridad de la Información'!$AE$36="Muy Alta",'R. Seguridad de la Información'!$AG$36="Mayor"),CONCATENATE("R5C",'R. Seguridad de la Información'!$U$36),"")</f>
        <v/>
      </c>
      <c r="AF10" s="49" t="str">
        <f>IF(AND('R. Seguridad de la Información'!$AE$37="Muy Alta",'R. Seguridad de la Información'!$AG$37="Mayor"),CONCATENATE("R5C",'R. Seguridad de la Información'!$U$37),"")</f>
        <v/>
      </c>
      <c r="AG10" s="45" t="str">
        <f>IF(AND('R. Seguridad de la Información'!$AE$38="Muy Alta",'R. Seguridad de la Información'!$AG$38="Mayor"),CONCATENATE("R5C",'R. Seguridad de la Información'!$U$38),"")</f>
        <v/>
      </c>
      <c r="AH10" s="46" t="str">
        <f>IF(AND('R. Seguridad de la Información'!$AE$33="Muy Alta",'R. Seguridad de la Información'!$AG$33="Catastrófico"),CONCATENATE("R5C",'R. Seguridad de la Información'!$U$33),"")</f>
        <v/>
      </c>
      <c r="AI10" s="47" t="str">
        <f>IF(AND('R. Seguridad de la Información'!$AE$34="Muy Alta",'R. Seguridad de la Información'!$AG$34="Catastrófico"),CONCATENATE("R5C",'R. Seguridad de la Información'!$U$34),"")</f>
        <v/>
      </c>
      <c r="AJ10" s="47" t="str">
        <f>IF(AND('R. Seguridad de la Información'!$AE$35="Muy Alta",'R. Seguridad de la Información'!$AG$35="Catastrófico"),CONCATENATE("R5C",'R. Seguridad de la Información'!$U$35),"")</f>
        <v/>
      </c>
      <c r="AK10" s="47" t="str">
        <f>IF(AND('R. Seguridad de la Información'!$AE$36="Muy Alta",'R. Seguridad de la Información'!$AG$36="Catastrófico"),CONCATENATE("R5C",'R. Seguridad de la Información'!$U$36),"")</f>
        <v/>
      </c>
      <c r="AL10" s="47" t="str">
        <f>IF(AND('R. Seguridad de la Información'!$AE$37="Muy Alta",'R. Seguridad de la Información'!$AG$37="Catastrófico"),CONCATENATE("R5C",'R. Seguridad de la Información'!$U$37),"")</f>
        <v/>
      </c>
      <c r="AM10" s="48" t="str">
        <f>IF(AND('R. Seguridad de la Información'!$AE$38="Muy Alta",'R. Seguridad de la Información'!$AG$38="Catastrófico"),CONCATENATE("R5C",'R. Seguridad de la Información'!$U$38),"")</f>
        <v/>
      </c>
      <c r="AN10" s="75"/>
      <c r="AO10" s="631"/>
      <c r="AP10" s="632"/>
      <c r="AQ10" s="632"/>
      <c r="AR10" s="632"/>
      <c r="AS10" s="632"/>
      <c r="AT10" s="633"/>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523"/>
      <c r="C11" s="523"/>
      <c r="D11" s="524"/>
      <c r="E11" s="624"/>
      <c r="F11" s="625"/>
      <c r="G11" s="625"/>
      <c r="H11" s="625"/>
      <c r="I11" s="640"/>
      <c r="J11" s="43" t="str">
        <f>IF(AND('R. Seguridad de la Información'!$AE$39="Muy Alta",'R. Seguridad de la Información'!$AG$39="Leve"),CONCATENATE("R6C",'R. Seguridad de la Información'!$U$39),"")</f>
        <v/>
      </c>
      <c r="K11" s="44" t="str">
        <f>IF(AND('R. Seguridad de la Información'!$AE$40="Muy Alta",'R. Seguridad de la Información'!$AG$40="Leve"),CONCATENATE("R6C",'R. Seguridad de la Información'!$U$40),"")</f>
        <v/>
      </c>
      <c r="L11" s="49" t="str">
        <f>IF(AND('R. Seguridad de la Información'!$AE$41="Muy Alta",'R. Seguridad de la Información'!$AG$41="Leve"),CONCATENATE("R6C",'R. Seguridad de la Información'!$U$41),"")</f>
        <v/>
      </c>
      <c r="M11" s="49" t="str">
        <f>IF(AND('R. Seguridad de la Información'!$AE$42="Muy Alta",'R. Seguridad de la Información'!$AG$42="Leve"),CONCATENATE("R6C",'R. Seguridad de la Información'!$U$42),"")</f>
        <v/>
      </c>
      <c r="N11" s="49" t="str">
        <f>IF(AND('R. Seguridad de la Información'!$AE$43="Muy Alta",'R. Seguridad de la Información'!$AG$43="Leve"),CONCATENATE("R6C",'R. Seguridad de la Información'!$U$43),"")</f>
        <v/>
      </c>
      <c r="O11" s="45" t="str">
        <f>IF(AND('R. Seguridad de la Información'!$AE$44="Muy Alta",'R. Seguridad de la Información'!$AG$44="Leve"),CONCATENATE("R6C",'R. Seguridad de la Información'!$U$44),"")</f>
        <v/>
      </c>
      <c r="P11" s="43" t="str">
        <f>IF(AND('R. Seguridad de la Información'!$AE$39="Muy Alta",'R. Seguridad de la Información'!$AG$39="Menor"),CONCATENATE("R6C",'R. Seguridad de la Información'!$U$39),"")</f>
        <v/>
      </c>
      <c r="Q11" s="44" t="str">
        <f>IF(AND('R. Seguridad de la Información'!$AE$40="Muy Alta",'R. Seguridad de la Información'!$AG$40="Menor"),CONCATENATE("R6C",'R. Seguridad de la Información'!$U$40),"")</f>
        <v/>
      </c>
      <c r="R11" s="49" t="str">
        <f>IF(AND('R. Seguridad de la Información'!$AE$41="Muy Alta",'R. Seguridad de la Información'!$AG$41="Menor"),CONCATENATE("R6C",'R. Seguridad de la Información'!$U$41),"")</f>
        <v/>
      </c>
      <c r="S11" s="49" t="str">
        <f>IF(AND('R. Seguridad de la Información'!$AE$42="Muy Alta",'R. Seguridad de la Información'!$AG$42="Menor"),CONCATENATE("R6C",'R. Seguridad de la Información'!$U$42),"")</f>
        <v/>
      </c>
      <c r="T11" s="49" t="str">
        <f>IF(AND('R. Seguridad de la Información'!$AE$43="Muy Alta",'R. Seguridad de la Información'!$AG$43="Menor"),CONCATENATE("R6C",'R. Seguridad de la Información'!$U$43),"")</f>
        <v/>
      </c>
      <c r="U11" s="45" t="str">
        <f>IF(AND('R. Seguridad de la Información'!$AE$44="Muy Alta",'R. Seguridad de la Información'!$AG$44="Menor"),CONCATENATE("R6C",'R. Seguridad de la Información'!$U$44),"")</f>
        <v/>
      </c>
      <c r="V11" s="43" t="str">
        <f>IF(AND('R. Seguridad de la Información'!$AE$39="Muy Alta",'R. Seguridad de la Información'!$AG$39="Moderado"),CONCATENATE("R6C",'R. Seguridad de la Información'!$U$39),"")</f>
        <v/>
      </c>
      <c r="W11" s="44" t="str">
        <f>IF(AND('R. Seguridad de la Información'!$AE$40="Muy Alta",'R. Seguridad de la Información'!$AG$40="Moderado"),CONCATENATE("R6C",'R. Seguridad de la Información'!$U$40),"")</f>
        <v/>
      </c>
      <c r="X11" s="49" t="str">
        <f>IF(AND('R. Seguridad de la Información'!$AE$41="Muy Alta",'R. Seguridad de la Información'!$AG$41="Moderado"),CONCATENATE("R6C",'R. Seguridad de la Información'!$U$41),"")</f>
        <v/>
      </c>
      <c r="Y11" s="49" t="str">
        <f>IF(AND('R. Seguridad de la Información'!$AE$42="Muy Alta",'R. Seguridad de la Información'!$AG$42="Moderado"),CONCATENATE("R6C",'R. Seguridad de la Información'!$U$42),"")</f>
        <v/>
      </c>
      <c r="Z11" s="49" t="str">
        <f>IF(AND('R. Seguridad de la Información'!$AE$43="Muy Alta",'R. Seguridad de la Información'!$AG$43="Moderado"),CONCATENATE("R6C",'R. Seguridad de la Información'!$U$43),"")</f>
        <v/>
      </c>
      <c r="AA11" s="45" t="str">
        <f>IF(AND('R. Seguridad de la Información'!$AE$44="Muy Alta",'R. Seguridad de la Información'!$AG$44="Moderado"),CONCATENATE("R6C",'R. Seguridad de la Información'!$U$44),"")</f>
        <v/>
      </c>
      <c r="AB11" s="43" t="str">
        <f>IF(AND('R. Seguridad de la Información'!$AE$39="Muy Alta",'R. Seguridad de la Información'!$AG$39="Mayor"),CONCATENATE("R6C",'R. Seguridad de la Información'!$U$39),"")</f>
        <v/>
      </c>
      <c r="AC11" s="44" t="str">
        <f>IF(AND('R. Seguridad de la Información'!$AE$40="Muy Alta",'R. Seguridad de la Información'!$AG$40="Mayor"),CONCATENATE("R6C",'R. Seguridad de la Información'!$U$40),"")</f>
        <v/>
      </c>
      <c r="AD11" s="49" t="str">
        <f>IF(AND('R. Seguridad de la Información'!$AE$41="Muy Alta",'R. Seguridad de la Información'!$AG$41="Mayor"),CONCATENATE("R6C",'R. Seguridad de la Información'!$U$41),"")</f>
        <v/>
      </c>
      <c r="AE11" s="49" t="str">
        <f>IF(AND('R. Seguridad de la Información'!$AE$42="Muy Alta",'R. Seguridad de la Información'!$AG$42="Mayor"),CONCATENATE("R6C",'R. Seguridad de la Información'!$U$42),"")</f>
        <v/>
      </c>
      <c r="AF11" s="49" t="str">
        <f>IF(AND('R. Seguridad de la Información'!$AE$43="Muy Alta",'R. Seguridad de la Información'!$AG$43="Mayor"),CONCATENATE("R6C",'R. Seguridad de la Información'!$U$43),"")</f>
        <v/>
      </c>
      <c r="AG11" s="45" t="str">
        <f>IF(AND('R. Seguridad de la Información'!$AE$44="Muy Alta",'R. Seguridad de la Información'!$AG$44="Mayor"),CONCATENATE("R6C",'R. Seguridad de la Información'!$U$44),"")</f>
        <v/>
      </c>
      <c r="AH11" s="46" t="str">
        <f>IF(AND('R. Seguridad de la Información'!$AE$39="Muy Alta",'R. Seguridad de la Información'!$AG$39="Catastrófico"),CONCATENATE("R6C",'R. Seguridad de la Información'!$U$39),"")</f>
        <v/>
      </c>
      <c r="AI11" s="47" t="str">
        <f>IF(AND('R. Seguridad de la Información'!$AE$40="Muy Alta",'R. Seguridad de la Información'!$AG$40="Catastrófico"),CONCATENATE("R6C",'R. Seguridad de la Información'!$U$40),"")</f>
        <v/>
      </c>
      <c r="AJ11" s="47" t="str">
        <f>IF(AND('R. Seguridad de la Información'!$AE$41="Muy Alta",'R. Seguridad de la Información'!$AG$41="Catastrófico"),CONCATENATE("R6C",'R. Seguridad de la Información'!$U$41),"")</f>
        <v/>
      </c>
      <c r="AK11" s="47" t="str">
        <f>IF(AND('R. Seguridad de la Información'!$AE$42="Muy Alta",'R. Seguridad de la Información'!$AG$42="Catastrófico"),CONCATENATE("R6C",'R. Seguridad de la Información'!$U$42),"")</f>
        <v/>
      </c>
      <c r="AL11" s="47" t="str">
        <f>IF(AND('R. Seguridad de la Información'!$AE$43="Muy Alta",'R. Seguridad de la Información'!$AG$43="Catastrófico"),CONCATENATE("R6C",'R. Seguridad de la Información'!$U$43),"")</f>
        <v/>
      </c>
      <c r="AM11" s="48" t="str">
        <f>IF(AND('R. Seguridad de la Información'!$AE$44="Muy Alta",'R. Seguridad de la Información'!$AG$44="Catastrófico"),CONCATENATE("R6C",'R. Seguridad de la Información'!$U$44),"")</f>
        <v/>
      </c>
      <c r="AN11" s="75"/>
      <c r="AO11" s="631"/>
      <c r="AP11" s="632"/>
      <c r="AQ11" s="632"/>
      <c r="AR11" s="632"/>
      <c r="AS11" s="632"/>
      <c r="AT11" s="633"/>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523"/>
      <c r="C12" s="523"/>
      <c r="D12" s="524"/>
      <c r="E12" s="624"/>
      <c r="F12" s="625"/>
      <c r="G12" s="625"/>
      <c r="H12" s="625"/>
      <c r="I12" s="640"/>
      <c r="J12" s="43" t="str">
        <f>IF(AND('R. Seguridad de la Información'!$AE$45="Muy Alta",'R. Seguridad de la Información'!$AG$45="Leve"),CONCATENATE("R7C",'R. Seguridad de la Información'!$U$45),"")</f>
        <v/>
      </c>
      <c r="K12" s="44" t="str">
        <f>IF(AND('R. Seguridad de la Información'!$AE$46="Muy Alta",'R. Seguridad de la Información'!$AG$46="Leve"),CONCATENATE("R7C",'R. Seguridad de la Información'!$U$46),"")</f>
        <v/>
      </c>
      <c r="L12" s="49" t="str">
        <f>IF(AND('R. Seguridad de la Información'!$AE$47="Muy Alta",'R. Seguridad de la Información'!$AG$47="Leve"),CONCATENATE("R7C",'R. Seguridad de la Información'!$U$47),"")</f>
        <v/>
      </c>
      <c r="M12" s="49" t="str">
        <f>IF(AND('R. Seguridad de la Información'!$AE$48="Muy Alta",'R. Seguridad de la Información'!$AG$48="Leve"),CONCATENATE("R7C",'R. Seguridad de la Información'!$U$48),"")</f>
        <v/>
      </c>
      <c r="N12" s="49" t="str">
        <f>IF(AND('R. Seguridad de la Información'!$AE$49="Muy Alta",'R. Seguridad de la Información'!$AG$49="Leve"),CONCATENATE("R7C",'R. Seguridad de la Información'!$U$49),"")</f>
        <v/>
      </c>
      <c r="O12" s="45" t="str">
        <f>IF(AND('R. Seguridad de la Información'!$AE$50="Muy Alta",'R. Seguridad de la Información'!$AG$50="Leve"),CONCATENATE("R7C",'R. Seguridad de la Información'!$U$50),"")</f>
        <v/>
      </c>
      <c r="P12" s="43" t="str">
        <f>IF(AND('R. Seguridad de la Información'!$AE$45="Muy Alta",'R. Seguridad de la Información'!$AG$45="Menor"),CONCATENATE("R7C",'R. Seguridad de la Información'!$U$45),"")</f>
        <v/>
      </c>
      <c r="Q12" s="44" t="str">
        <f>IF(AND('R. Seguridad de la Información'!$AE$46="Muy Alta",'R. Seguridad de la Información'!$AG$46="Menor"),CONCATENATE("R7C",'R. Seguridad de la Información'!$U$46),"")</f>
        <v/>
      </c>
      <c r="R12" s="49" t="str">
        <f>IF(AND('R. Seguridad de la Información'!$AE$47="Muy Alta",'R. Seguridad de la Información'!$AG$47="Menor"),CONCATENATE("R7C",'R. Seguridad de la Información'!$U$47),"")</f>
        <v/>
      </c>
      <c r="S12" s="49" t="str">
        <f>IF(AND('R. Seguridad de la Información'!$AE$48="Muy Alta",'R. Seguridad de la Información'!$AG$48="Menor"),CONCATENATE("R7C",'R. Seguridad de la Información'!$U$48),"")</f>
        <v/>
      </c>
      <c r="T12" s="49" t="str">
        <f>IF(AND('R. Seguridad de la Información'!$AE$49="Muy Alta",'R. Seguridad de la Información'!$AG$49="Menor"),CONCATENATE("R7C",'R. Seguridad de la Información'!$U$49),"")</f>
        <v/>
      </c>
      <c r="U12" s="45" t="str">
        <f>IF(AND('R. Seguridad de la Información'!$AE$50="Muy Alta",'R. Seguridad de la Información'!$AG$50="Menor"),CONCATENATE("R7C",'R. Seguridad de la Información'!$U$50),"")</f>
        <v/>
      </c>
      <c r="V12" s="43" t="str">
        <f>IF(AND('R. Seguridad de la Información'!$AE$45="Muy Alta",'R. Seguridad de la Información'!$AG$45="Moderado"),CONCATENATE("R7C",'R. Seguridad de la Información'!$U$45),"")</f>
        <v/>
      </c>
      <c r="W12" s="44" t="str">
        <f>IF(AND('R. Seguridad de la Información'!$AE$46="Muy Alta",'R. Seguridad de la Información'!$AG$46="Moderado"),CONCATENATE("R7C",'R. Seguridad de la Información'!$U$46),"")</f>
        <v/>
      </c>
      <c r="X12" s="49" t="str">
        <f>IF(AND('R. Seguridad de la Información'!$AE$47="Muy Alta",'R. Seguridad de la Información'!$AG$47="Moderado"),CONCATENATE("R7C",'R. Seguridad de la Información'!$U$47),"")</f>
        <v/>
      </c>
      <c r="Y12" s="49" t="str">
        <f>IF(AND('R. Seguridad de la Información'!$AE$48="Muy Alta",'R. Seguridad de la Información'!$AG$48="Moderado"),CONCATENATE("R7C",'R. Seguridad de la Información'!$U$48),"")</f>
        <v/>
      </c>
      <c r="Z12" s="49" t="str">
        <f>IF(AND('R. Seguridad de la Información'!$AE$49="Muy Alta",'R. Seguridad de la Información'!$AG$49="Moderado"),CONCATENATE("R7C",'R. Seguridad de la Información'!$U$49),"")</f>
        <v/>
      </c>
      <c r="AA12" s="45" t="str">
        <f>IF(AND('R. Seguridad de la Información'!$AE$50="Muy Alta",'R. Seguridad de la Información'!$AG$50="Moderado"),CONCATENATE("R7C",'R. Seguridad de la Información'!$U$50),"")</f>
        <v/>
      </c>
      <c r="AB12" s="43" t="str">
        <f>IF(AND('R. Seguridad de la Información'!$AE$45="Muy Alta",'R. Seguridad de la Información'!$AG$45="Mayor"),CONCATENATE("R7C",'R. Seguridad de la Información'!$U$45),"")</f>
        <v/>
      </c>
      <c r="AC12" s="44" t="str">
        <f>IF(AND('R. Seguridad de la Información'!$AE$46="Muy Alta",'R. Seguridad de la Información'!$AG$46="Mayor"),CONCATENATE("R7C",'R. Seguridad de la Información'!$U$46),"")</f>
        <v/>
      </c>
      <c r="AD12" s="49" t="str">
        <f>IF(AND('R. Seguridad de la Información'!$AE$47="Muy Alta",'R. Seguridad de la Información'!$AG$47="Mayor"),CONCATENATE("R7C",'R. Seguridad de la Información'!$U$47),"")</f>
        <v/>
      </c>
      <c r="AE12" s="49" t="str">
        <f>IF(AND('R. Seguridad de la Información'!$AE$48="Muy Alta",'R. Seguridad de la Información'!$AG$48="Mayor"),CONCATENATE("R7C",'R. Seguridad de la Información'!$U$48),"")</f>
        <v/>
      </c>
      <c r="AF12" s="49" t="str">
        <f>IF(AND('R. Seguridad de la Información'!$AE$49="Muy Alta",'R. Seguridad de la Información'!$AG$49="Mayor"),CONCATENATE("R7C",'R. Seguridad de la Información'!$U$49),"")</f>
        <v/>
      </c>
      <c r="AG12" s="45" t="str">
        <f>IF(AND('R. Seguridad de la Información'!$AE$50="Muy Alta",'R. Seguridad de la Información'!$AG$50="Mayor"),CONCATENATE("R7C",'R. Seguridad de la Información'!$U$50),"")</f>
        <v/>
      </c>
      <c r="AH12" s="46" t="str">
        <f>IF(AND('R. Seguridad de la Información'!$AE$45="Muy Alta",'R. Seguridad de la Información'!$AG$45="Catastrófico"),CONCATENATE("R7C",'R. Seguridad de la Información'!$U$45),"")</f>
        <v/>
      </c>
      <c r="AI12" s="47" t="str">
        <f>IF(AND('R. Seguridad de la Información'!$AE$46="Muy Alta",'R. Seguridad de la Información'!$AG$46="Catastrófico"),CONCATENATE("R7C",'R. Seguridad de la Información'!$U$46),"")</f>
        <v/>
      </c>
      <c r="AJ12" s="47" t="str">
        <f>IF(AND('R. Seguridad de la Información'!$AE$47="Muy Alta",'R. Seguridad de la Información'!$AG$47="Catastrófico"),CONCATENATE("R7C",'R. Seguridad de la Información'!$U$47),"")</f>
        <v/>
      </c>
      <c r="AK12" s="47" t="str">
        <f>IF(AND('R. Seguridad de la Información'!$AE$48="Muy Alta",'R. Seguridad de la Información'!$AG$48="Catastrófico"),CONCATENATE("R7C",'R. Seguridad de la Información'!$U$48),"")</f>
        <v/>
      </c>
      <c r="AL12" s="47" t="str">
        <f>IF(AND('R. Seguridad de la Información'!$AE$49="Muy Alta",'R. Seguridad de la Información'!$AG$49="Catastrófico"),CONCATENATE("R7C",'R. Seguridad de la Información'!$U$49),"")</f>
        <v/>
      </c>
      <c r="AM12" s="48" t="str">
        <f>IF(AND('R. Seguridad de la Información'!$AE$50="Muy Alta",'R. Seguridad de la Información'!$AG$50="Catastrófico"),CONCATENATE("R7C",'R. Seguridad de la Información'!$U$50),"")</f>
        <v/>
      </c>
      <c r="AN12" s="75"/>
      <c r="AO12" s="631"/>
      <c r="AP12" s="632"/>
      <c r="AQ12" s="632"/>
      <c r="AR12" s="632"/>
      <c r="AS12" s="632"/>
      <c r="AT12" s="633"/>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523"/>
      <c r="C13" s="523"/>
      <c r="D13" s="524"/>
      <c r="E13" s="624"/>
      <c r="F13" s="625"/>
      <c r="G13" s="625"/>
      <c r="H13" s="625"/>
      <c r="I13" s="640"/>
      <c r="J13" s="43" t="str">
        <f>IF(AND('R. Seguridad de la Información'!$AE$51="Muy Alta",'R. Seguridad de la Información'!$AG$51="Leve"),CONCATENATE("R8C",'R. Seguridad de la Información'!$U$51),"")</f>
        <v/>
      </c>
      <c r="K13" s="44" t="str">
        <f>IF(AND('R. Seguridad de la Información'!$AE$52="Muy Alta",'R. Seguridad de la Información'!$AG$52="Leve"),CONCATENATE("R8C",'R. Seguridad de la Información'!$U$52),"")</f>
        <v/>
      </c>
      <c r="L13" s="49" t="str">
        <f>IF(AND('R. Seguridad de la Información'!$AE$53="Muy Alta",'R. Seguridad de la Información'!$AG$53="Leve"),CONCATENATE("R8C",'R. Seguridad de la Información'!$U$53),"")</f>
        <v/>
      </c>
      <c r="M13" s="49" t="str">
        <f>IF(AND('R. Seguridad de la Información'!$AE$54="Muy Alta",'R. Seguridad de la Información'!$AG$54="Leve"),CONCATENATE("R8C",'R. Seguridad de la Información'!$U$54),"")</f>
        <v/>
      </c>
      <c r="N13" s="49" t="str">
        <f>IF(AND('R. Seguridad de la Información'!$AE$55="Muy Alta",'R. Seguridad de la Información'!$AG$55="Leve"),CONCATENATE("R8C",'R. Seguridad de la Información'!$U$55),"")</f>
        <v/>
      </c>
      <c r="O13" s="45" t="str">
        <f>IF(AND('R. Seguridad de la Información'!$AE$56="Muy Alta",'R. Seguridad de la Información'!$AG$56="Leve"),CONCATENATE("R8C",'R. Seguridad de la Información'!$U$56),"")</f>
        <v/>
      </c>
      <c r="P13" s="43" t="str">
        <f>IF(AND('R. Seguridad de la Información'!$AE$51="Muy Alta",'R. Seguridad de la Información'!$AG$51="Menor"),CONCATENATE("R8C",'R. Seguridad de la Información'!$U$51),"")</f>
        <v/>
      </c>
      <c r="Q13" s="44" t="str">
        <f>IF(AND('R. Seguridad de la Información'!$AE$52="Muy Alta",'R. Seguridad de la Información'!$AG$52="Menor"),CONCATENATE("R8C",'R. Seguridad de la Información'!$U$52),"")</f>
        <v/>
      </c>
      <c r="R13" s="49" t="str">
        <f>IF(AND('R. Seguridad de la Información'!$AE$53="Muy Alta",'R. Seguridad de la Información'!$AG$53="Menor"),CONCATENATE("R8C",'R. Seguridad de la Información'!$U$53),"")</f>
        <v/>
      </c>
      <c r="S13" s="49" t="str">
        <f>IF(AND('R. Seguridad de la Información'!$AE$54="Muy Alta",'R. Seguridad de la Información'!$AG$54="Menor"),CONCATENATE("R8C",'R. Seguridad de la Información'!$U$54),"")</f>
        <v/>
      </c>
      <c r="T13" s="49" t="str">
        <f>IF(AND('R. Seguridad de la Información'!$AE$55="Muy Alta",'R. Seguridad de la Información'!$AG$55="Menor"),CONCATENATE("R8C",'R. Seguridad de la Información'!$U$55),"")</f>
        <v/>
      </c>
      <c r="U13" s="45" t="str">
        <f>IF(AND('R. Seguridad de la Información'!$AE$56="Muy Alta",'R. Seguridad de la Información'!$AG$56="Menor"),CONCATENATE("R8C",'R. Seguridad de la Información'!$U$56),"")</f>
        <v/>
      </c>
      <c r="V13" s="43" t="str">
        <f>IF(AND('R. Seguridad de la Información'!$AE$51="Muy Alta",'R. Seguridad de la Información'!$AG$51="Moderado"),CONCATENATE("R8C",'R. Seguridad de la Información'!$U$51),"")</f>
        <v/>
      </c>
      <c r="W13" s="44" t="str">
        <f>IF(AND('R. Seguridad de la Información'!$AE$52="Muy Alta",'R. Seguridad de la Información'!$AG$52="Moderado"),CONCATENATE("R8C",'R. Seguridad de la Información'!$U$52),"")</f>
        <v/>
      </c>
      <c r="X13" s="49" t="str">
        <f>IF(AND('R. Seguridad de la Información'!$AE$53="Muy Alta",'R. Seguridad de la Información'!$AG$53="Moderado"),CONCATENATE("R8C",'R. Seguridad de la Información'!$U$53),"")</f>
        <v/>
      </c>
      <c r="Y13" s="49" t="str">
        <f>IF(AND('R. Seguridad de la Información'!$AE$54="Muy Alta",'R. Seguridad de la Información'!$AG$54="Moderado"),CONCATENATE("R8C",'R. Seguridad de la Información'!$U$54),"")</f>
        <v/>
      </c>
      <c r="Z13" s="49" t="str">
        <f>IF(AND('R. Seguridad de la Información'!$AE$55="Muy Alta",'R. Seguridad de la Información'!$AG$55="Moderado"),CONCATENATE("R8C",'R. Seguridad de la Información'!$U$55),"")</f>
        <v/>
      </c>
      <c r="AA13" s="45" t="str">
        <f>IF(AND('R. Seguridad de la Información'!$AE$56="Muy Alta",'R. Seguridad de la Información'!$AG$56="Moderado"),CONCATENATE("R8C",'R. Seguridad de la Información'!$U$56),"")</f>
        <v/>
      </c>
      <c r="AB13" s="43" t="str">
        <f>IF(AND('R. Seguridad de la Información'!$AE$51="Muy Alta",'R. Seguridad de la Información'!$AG$51="Mayor"),CONCATENATE("R8C",'R. Seguridad de la Información'!$U$51),"")</f>
        <v/>
      </c>
      <c r="AC13" s="44" t="str">
        <f>IF(AND('R. Seguridad de la Información'!$AE$52="Muy Alta",'R. Seguridad de la Información'!$AG$52="Mayor"),CONCATENATE("R8C",'R. Seguridad de la Información'!$U$52),"")</f>
        <v/>
      </c>
      <c r="AD13" s="49" t="str">
        <f>IF(AND('R. Seguridad de la Información'!$AE$53="Muy Alta",'R. Seguridad de la Información'!$AG$53="Mayor"),CONCATENATE("R8C",'R. Seguridad de la Información'!$U$53),"")</f>
        <v/>
      </c>
      <c r="AE13" s="49" t="str">
        <f>IF(AND('R. Seguridad de la Información'!$AE$54="Muy Alta",'R. Seguridad de la Información'!$AG$54="Mayor"),CONCATENATE("R8C",'R. Seguridad de la Información'!$U$54),"")</f>
        <v/>
      </c>
      <c r="AF13" s="49" t="str">
        <f>IF(AND('R. Seguridad de la Información'!$AE$55="Muy Alta",'R. Seguridad de la Información'!$AG$55="Mayor"),CONCATENATE("R8C",'R. Seguridad de la Información'!$U$55),"")</f>
        <v/>
      </c>
      <c r="AG13" s="45" t="str">
        <f>IF(AND('R. Seguridad de la Información'!$AE$56="Muy Alta",'R. Seguridad de la Información'!$AG$56="Mayor"),CONCATENATE("R8C",'R. Seguridad de la Información'!$U$56),"")</f>
        <v/>
      </c>
      <c r="AH13" s="46" t="str">
        <f>IF(AND('R. Seguridad de la Información'!$AE$51="Muy Alta",'R. Seguridad de la Información'!$AG$51="Catastrófico"),CONCATENATE("R8C",'R. Seguridad de la Información'!$U$51),"")</f>
        <v/>
      </c>
      <c r="AI13" s="47" t="str">
        <f>IF(AND('R. Seguridad de la Información'!$AE$52="Muy Alta",'R. Seguridad de la Información'!$AG$52="Catastrófico"),CONCATENATE("R8C",'R. Seguridad de la Información'!$U$52),"")</f>
        <v/>
      </c>
      <c r="AJ13" s="47" t="str">
        <f>IF(AND('R. Seguridad de la Información'!$AE$53="Muy Alta",'R. Seguridad de la Información'!$AG$53="Catastrófico"),CONCATENATE("R8C",'R. Seguridad de la Información'!$U$53),"")</f>
        <v/>
      </c>
      <c r="AK13" s="47" t="str">
        <f>IF(AND('R. Seguridad de la Información'!$AE$54="Muy Alta",'R. Seguridad de la Información'!$AG$54="Catastrófico"),CONCATENATE("R8C",'R. Seguridad de la Información'!$U$54),"")</f>
        <v/>
      </c>
      <c r="AL13" s="47" t="str">
        <f>IF(AND('R. Seguridad de la Información'!$AE$55="Muy Alta",'R. Seguridad de la Información'!$AG$55="Catastrófico"),CONCATENATE("R8C",'R. Seguridad de la Información'!$U$55),"")</f>
        <v/>
      </c>
      <c r="AM13" s="48" t="str">
        <f>IF(AND('R. Seguridad de la Información'!$AE$56="Muy Alta",'R. Seguridad de la Información'!$AG$56="Catastrófico"),CONCATENATE("R8C",'R. Seguridad de la Información'!$U$56),"")</f>
        <v/>
      </c>
      <c r="AN13" s="75"/>
      <c r="AO13" s="631"/>
      <c r="AP13" s="632"/>
      <c r="AQ13" s="632"/>
      <c r="AR13" s="632"/>
      <c r="AS13" s="632"/>
      <c r="AT13" s="633"/>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523"/>
      <c r="C14" s="523"/>
      <c r="D14" s="524"/>
      <c r="E14" s="624"/>
      <c r="F14" s="625"/>
      <c r="G14" s="625"/>
      <c r="H14" s="625"/>
      <c r="I14" s="640"/>
      <c r="J14" s="43" t="str">
        <f>IF(AND('R. Seguridad de la Información'!$AE$57="Muy Alta",'R. Seguridad de la Información'!$AG$57="Leve"),CONCATENATE("R9C",'R. Seguridad de la Información'!$U$57),"")</f>
        <v/>
      </c>
      <c r="K14" s="44" t="str">
        <f>IF(AND('R. Seguridad de la Información'!$AE$58="Muy Alta",'R. Seguridad de la Información'!$AG$58="Leve"),CONCATENATE("R9C",'R. Seguridad de la Información'!$U$58),"")</f>
        <v/>
      </c>
      <c r="L14" s="49" t="str">
        <f>IF(AND('R. Seguridad de la Información'!$AE$59="Muy Alta",'R. Seguridad de la Información'!$AG$59="Leve"),CONCATENATE("R9C",'R. Seguridad de la Información'!$U$59),"")</f>
        <v/>
      </c>
      <c r="M14" s="49" t="str">
        <f>IF(AND('R. Seguridad de la Información'!$AE$60="Muy Alta",'R. Seguridad de la Información'!$AG$60="Leve"),CONCATENATE("R9C",'R. Seguridad de la Información'!$U$60),"")</f>
        <v/>
      </c>
      <c r="N14" s="49" t="str">
        <f>IF(AND('R. Seguridad de la Información'!$AE$61="Muy Alta",'R. Seguridad de la Información'!$AG$61="Leve"),CONCATENATE("R9C",'R. Seguridad de la Información'!$U$61),"")</f>
        <v/>
      </c>
      <c r="O14" s="45" t="str">
        <f>IF(AND('R. Seguridad de la Información'!$AE$62="Muy Alta",'R. Seguridad de la Información'!$AG$62="Leve"),CONCATENATE("R9C",'R. Seguridad de la Información'!$U$62),"")</f>
        <v/>
      </c>
      <c r="P14" s="43" t="str">
        <f>IF(AND('R. Seguridad de la Información'!$AE$57="Muy Alta",'R. Seguridad de la Información'!$AG$57="Menor"),CONCATENATE("R9C",'R. Seguridad de la Información'!$U$57),"")</f>
        <v/>
      </c>
      <c r="Q14" s="44" t="str">
        <f>IF(AND('R. Seguridad de la Información'!$AE$58="Muy Alta",'R. Seguridad de la Información'!$AG$58="Menor"),CONCATENATE("R9C",'R. Seguridad de la Información'!$U$58),"")</f>
        <v/>
      </c>
      <c r="R14" s="49" t="str">
        <f>IF(AND('R. Seguridad de la Información'!$AE$59="Muy Alta",'R. Seguridad de la Información'!$AG$59="Menor"),CONCATENATE("R9C",'R. Seguridad de la Información'!$U$59),"")</f>
        <v/>
      </c>
      <c r="S14" s="49" t="str">
        <f>IF(AND('R. Seguridad de la Información'!$AE$60="Muy Alta",'R. Seguridad de la Información'!$AG$60="Menor"),CONCATENATE("R9C",'R. Seguridad de la Información'!$U$60),"")</f>
        <v/>
      </c>
      <c r="T14" s="49" t="str">
        <f>IF(AND('R. Seguridad de la Información'!$AE$61="Muy Alta",'R. Seguridad de la Información'!$AG$61="Menor"),CONCATENATE("R9C",'R. Seguridad de la Información'!$U$61),"")</f>
        <v/>
      </c>
      <c r="U14" s="45" t="str">
        <f>IF(AND('R. Seguridad de la Información'!$AE$62="Muy Alta",'R. Seguridad de la Información'!$AG$62="Menor"),CONCATENATE("R9C",'R. Seguridad de la Información'!$U$62),"")</f>
        <v/>
      </c>
      <c r="V14" s="43" t="str">
        <f>IF(AND('R. Seguridad de la Información'!$AE$57="Muy Alta",'R. Seguridad de la Información'!$AG$57="Moderado"),CONCATENATE("R9C",'R. Seguridad de la Información'!$U$57),"")</f>
        <v/>
      </c>
      <c r="W14" s="44" t="str">
        <f>IF(AND('R. Seguridad de la Información'!$AE$58="Muy Alta",'R. Seguridad de la Información'!$AG$58="Moderado"),CONCATENATE("R9C",'R. Seguridad de la Información'!$U$58),"")</f>
        <v/>
      </c>
      <c r="X14" s="49" t="str">
        <f>IF(AND('R. Seguridad de la Información'!$AE$59="Muy Alta",'R. Seguridad de la Información'!$AG$59="Moderado"),CONCATENATE("R9C",'R. Seguridad de la Información'!$U$59),"")</f>
        <v/>
      </c>
      <c r="Y14" s="49" t="str">
        <f>IF(AND('R. Seguridad de la Información'!$AE$60="Muy Alta",'R. Seguridad de la Información'!$AG$60="Moderado"),CONCATENATE("R9C",'R. Seguridad de la Información'!$U$60),"")</f>
        <v/>
      </c>
      <c r="Z14" s="49" t="str">
        <f>IF(AND('R. Seguridad de la Información'!$AE$61="Muy Alta",'R. Seguridad de la Información'!$AG$61="Moderado"),CONCATENATE("R9C",'R. Seguridad de la Información'!$U$61),"")</f>
        <v/>
      </c>
      <c r="AA14" s="45" t="str">
        <f>IF(AND('R. Seguridad de la Información'!$AE$62="Muy Alta",'R. Seguridad de la Información'!$AG$62="Moderado"),CONCATENATE("R9C",'R. Seguridad de la Información'!$U$62),"")</f>
        <v/>
      </c>
      <c r="AB14" s="43" t="str">
        <f>IF(AND('R. Seguridad de la Información'!$AE$57="Muy Alta",'R. Seguridad de la Información'!$AG$57="Mayor"),CONCATENATE("R9C",'R. Seguridad de la Información'!$U$57),"")</f>
        <v/>
      </c>
      <c r="AC14" s="44" t="str">
        <f>IF(AND('R. Seguridad de la Información'!$AE$58="Muy Alta",'R. Seguridad de la Información'!$AG$58="Mayor"),CONCATENATE("R9C",'R. Seguridad de la Información'!$U$58),"")</f>
        <v/>
      </c>
      <c r="AD14" s="49" t="str">
        <f>IF(AND('R. Seguridad de la Información'!$AE$59="Muy Alta",'R. Seguridad de la Información'!$AG$59="Mayor"),CONCATENATE("R9C",'R. Seguridad de la Información'!$U$59),"")</f>
        <v/>
      </c>
      <c r="AE14" s="49" t="str">
        <f>IF(AND('R. Seguridad de la Información'!$AE$60="Muy Alta",'R. Seguridad de la Información'!$AG$60="Mayor"),CONCATENATE("R9C",'R. Seguridad de la Información'!$U$60),"")</f>
        <v/>
      </c>
      <c r="AF14" s="49" t="str">
        <f>IF(AND('R. Seguridad de la Información'!$AE$61="Muy Alta",'R. Seguridad de la Información'!$AG$61="Mayor"),CONCATENATE("R9C",'R. Seguridad de la Información'!$U$61),"")</f>
        <v/>
      </c>
      <c r="AG14" s="45" t="str">
        <f>IF(AND('R. Seguridad de la Información'!$AE$62="Muy Alta",'R. Seguridad de la Información'!$AG$62="Mayor"),CONCATENATE("R9C",'R. Seguridad de la Información'!$U$62),"")</f>
        <v/>
      </c>
      <c r="AH14" s="46" t="str">
        <f>IF(AND('R. Seguridad de la Información'!$AE$57="Muy Alta",'R. Seguridad de la Información'!$AG$57="Catastrófico"),CONCATENATE("R9C",'R. Seguridad de la Información'!$U$57),"")</f>
        <v/>
      </c>
      <c r="AI14" s="47" t="str">
        <f>IF(AND('R. Seguridad de la Información'!$AE$58="Muy Alta",'R. Seguridad de la Información'!$AG$58="Catastrófico"),CONCATENATE("R9C",'R. Seguridad de la Información'!$U$58),"")</f>
        <v/>
      </c>
      <c r="AJ14" s="47" t="str">
        <f>IF(AND('R. Seguridad de la Información'!$AE$59="Muy Alta",'R. Seguridad de la Información'!$AG$59="Catastrófico"),CONCATENATE("R9C",'R. Seguridad de la Información'!$U$59),"")</f>
        <v/>
      </c>
      <c r="AK14" s="47" t="str">
        <f>IF(AND('R. Seguridad de la Información'!$AE$60="Muy Alta",'R. Seguridad de la Información'!$AG$60="Catastrófico"),CONCATENATE("R9C",'R. Seguridad de la Información'!$U$60),"")</f>
        <v/>
      </c>
      <c r="AL14" s="47" t="str">
        <f>IF(AND('R. Seguridad de la Información'!$AE$61="Muy Alta",'R. Seguridad de la Información'!$AG$61="Catastrófico"),CONCATENATE("R9C",'R. Seguridad de la Información'!$U$61),"")</f>
        <v/>
      </c>
      <c r="AM14" s="48" t="str">
        <f>IF(AND('R. Seguridad de la Información'!$AE$62="Muy Alta",'R. Seguridad de la Información'!$AG$62="Catastrófico"),CONCATENATE("R9C",'R. Seguridad de la Información'!$U$62),"")</f>
        <v/>
      </c>
      <c r="AN14" s="75"/>
      <c r="AO14" s="631"/>
      <c r="AP14" s="632"/>
      <c r="AQ14" s="632"/>
      <c r="AR14" s="632"/>
      <c r="AS14" s="632"/>
      <c r="AT14" s="633"/>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523"/>
      <c r="C15" s="523"/>
      <c r="D15" s="524"/>
      <c r="E15" s="626"/>
      <c r="F15" s="627"/>
      <c r="G15" s="627"/>
      <c r="H15" s="627"/>
      <c r="I15" s="641"/>
      <c r="J15" s="50" t="str">
        <f>IF(AND('R. Seguridad de la Información'!$AE$63="Muy Alta",'R. Seguridad de la Información'!$AG$63="Leve"),CONCATENATE("R10C",'R. Seguridad de la Información'!$U$63),"")</f>
        <v/>
      </c>
      <c r="K15" s="51" t="str">
        <f>IF(AND('R. Seguridad de la Información'!$AE$64="Muy Alta",'R. Seguridad de la Información'!$AG$64="Leve"),CONCATENATE("R10C",'R. Seguridad de la Información'!$U$64),"")</f>
        <v/>
      </c>
      <c r="L15" s="51" t="str">
        <f>IF(AND('R. Seguridad de la Información'!$AE$65="Muy Alta",'R. Seguridad de la Información'!$AG$65="Leve"),CONCATENATE("R10C",'R. Seguridad de la Información'!$U$65),"")</f>
        <v/>
      </c>
      <c r="M15" s="51" t="str">
        <f>IF(AND('R. Seguridad de la Información'!$AE$66="Muy Alta",'R. Seguridad de la Información'!$AG$66="Leve"),CONCATENATE("R10C",'R. Seguridad de la Información'!$U$66),"")</f>
        <v/>
      </c>
      <c r="N15" s="51" t="str">
        <f>IF(AND('R. Seguridad de la Información'!$AE$67="Muy Alta",'R. Seguridad de la Información'!$AG$67="Leve"),CONCATENATE("R10C",'R. Seguridad de la Información'!$U$67),"")</f>
        <v/>
      </c>
      <c r="O15" s="52" t="str">
        <f>IF(AND('R. Seguridad de la Información'!$AE$68="Muy Alta",'R. Seguridad de la Información'!$AG$68="Leve"),CONCATENATE("R10C",'R. Seguridad de la Información'!$U$68),"")</f>
        <v/>
      </c>
      <c r="P15" s="43" t="str">
        <f>IF(AND('R. Seguridad de la Información'!$AE$63="Muy Alta",'R. Seguridad de la Información'!$AG$63="Menor"),CONCATENATE("R10C",'R. Seguridad de la Información'!$U$63),"")</f>
        <v/>
      </c>
      <c r="Q15" s="44" t="str">
        <f>IF(AND('R. Seguridad de la Información'!$AE$64="Muy Alta",'R. Seguridad de la Información'!$AG$64="Menor"),CONCATENATE("R10C",'R. Seguridad de la Información'!$U$64),"")</f>
        <v/>
      </c>
      <c r="R15" s="44" t="str">
        <f>IF(AND('R. Seguridad de la Información'!$AE$65="Muy Alta",'R. Seguridad de la Información'!$AG$65="Menor"),CONCATENATE("R10C",'R. Seguridad de la Información'!$U$65),"")</f>
        <v/>
      </c>
      <c r="S15" s="44" t="str">
        <f>IF(AND('R. Seguridad de la Información'!$AE$66="Muy Alta",'R. Seguridad de la Información'!$AG$66="Menor"),CONCATENATE("R10C",'R. Seguridad de la Información'!$U$66),"")</f>
        <v/>
      </c>
      <c r="T15" s="44" t="str">
        <f>IF(AND('R. Seguridad de la Información'!$AE$67="Muy Alta",'R. Seguridad de la Información'!$AG$67="Menor"),CONCATENATE("R10C",'R. Seguridad de la Información'!$U$67),"")</f>
        <v/>
      </c>
      <c r="U15" s="45" t="str">
        <f>IF(AND('R. Seguridad de la Información'!$AE$68="Muy Alta",'R. Seguridad de la Información'!$AG$68="Menor"),CONCATENATE("R10C",'R. Seguridad de la Información'!$U$68),"")</f>
        <v/>
      </c>
      <c r="V15" s="50" t="str">
        <f>IF(AND('R. Seguridad de la Información'!$AE$63="Muy Alta",'R. Seguridad de la Información'!$AG$63="Moderado"),CONCATENATE("R10C",'R. Seguridad de la Información'!$U$63),"")</f>
        <v/>
      </c>
      <c r="W15" s="51" t="str">
        <f>IF(AND('R. Seguridad de la Información'!$AE$64="Muy Alta",'R. Seguridad de la Información'!$AG$64="Moderado"),CONCATENATE("R10C",'R. Seguridad de la Información'!$U$64),"")</f>
        <v/>
      </c>
      <c r="X15" s="51" t="str">
        <f>IF(AND('R. Seguridad de la Información'!$AE$65="Muy Alta",'R. Seguridad de la Información'!$AG$65="Moderado"),CONCATENATE("R10C",'R. Seguridad de la Información'!$U$65),"")</f>
        <v/>
      </c>
      <c r="Y15" s="51" t="str">
        <f>IF(AND('R. Seguridad de la Información'!$AE$66="Muy Alta",'R. Seguridad de la Información'!$AG$66="Moderado"),CONCATENATE("R10C",'R. Seguridad de la Información'!$U$66),"")</f>
        <v/>
      </c>
      <c r="Z15" s="51" t="str">
        <f>IF(AND('R. Seguridad de la Información'!$AE$67="Muy Alta",'R. Seguridad de la Información'!$AG$67="Moderado"),CONCATENATE("R10C",'R. Seguridad de la Información'!$U$67),"")</f>
        <v/>
      </c>
      <c r="AA15" s="52" t="str">
        <f>IF(AND('R. Seguridad de la Información'!$AE$68="Muy Alta",'R. Seguridad de la Información'!$AG$68="Moderado"),CONCATENATE("R10C",'R. Seguridad de la Información'!$U$68),"")</f>
        <v/>
      </c>
      <c r="AB15" s="43" t="str">
        <f>IF(AND('R. Seguridad de la Información'!$AE$63="Muy Alta",'R. Seguridad de la Información'!$AG$63="Mayor"),CONCATENATE("R10C",'R. Seguridad de la Información'!$U$63),"")</f>
        <v/>
      </c>
      <c r="AC15" s="44" t="str">
        <f>IF(AND('R. Seguridad de la Información'!$AE$64="Muy Alta",'R. Seguridad de la Información'!$AG$64="Mayor"),CONCATENATE("R10C",'R. Seguridad de la Información'!$U$64),"")</f>
        <v/>
      </c>
      <c r="AD15" s="44" t="str">
        <f>IF(AND('R. Seguridad de la Información'!$AE$65="Muy Alta",'R. Seguridad de la Información'!$AG$65="Mayor"),CONCATENATE("R10C",'R. Seguridad de la Información'!$U$65),"")</f>
        <v/>
      </c>
      <c r="AE15" s="44" t="str">
        <f>IF(AND('R. Seguridad de la Información'!$AE$66="Muy Alta",'R. Seguridad de la Información'!$AG$66="Mayor"),CONCATENATE("R10C",'R. Seguridad de la Información'!$U$66),"")</f>
        <v/>
      </c>
      <c r="AF15" s="44" t="str">
        <f>IF(AND('R. Seguridad de la Información'!$AE$67="Muy Alta",'R. Seguridad de la Información'!$AG$67="Mayor"),CONCATENATE("R10C",'R. Seguridad de la Información'!$U$67),"")</f>
        <v/>
      </c>
      <c r="AG15" s="45" t="str">
        <f>IF(AND('R. Seguridad de la Información'!$AE$68="Muy Alta",'R. Seguridad de la Información'!$AG$68="Mayor"),CONCATENATE("R10C",'R. Seguridad de la Información'!$U$68),"")</f>
        <v/>
      </c>
      <c r="AH15" s="53" t="str">
        <f>IF(AND('R. Seguridad de la Información'!$AE$63="Muy Alta",'R. Seguridad de la Información'!$AG$63="Catastrófico"),CONCATENATE("R10C",'R. Seguridad de la Información'!$U$63),"")</f>
        <v/>
      </c>
      <c r="AI15" s="54" t="str">
        <f>IF(AND('R. Seguridad de la Información'!$AE$64="Muy Alta",'R. Seguridad de la Información'!$AG$64="Catastrófico"),CONCATENATE("R10C",'R. Seguridad de la Información'!$U$64),"")</f>
        <v/>
      </c>
      <c r="AJ15" s="54" t="str">
        <f>IF(AND('R. Seguridad de la Información'!$AE$65="Muy Alta",'R. Seguridad de la Información'!$AG$65="Catastrófico"),CONCATENATE("R10C",'R. Seguridad de la Información'!$U$65),"")</f>
        <v/>
      </c>
      <c r="AK15" s="54" t="str">
        <f>IF(AND('R. Seguridad de la Información'!$AE$66="Muy Alta",'R. Seguridad de la Información'!$AG$66="Catastrófico"),CONCATENATE("R10C",'R. Seguridad de la Información'!$U$66),"")</f>
        <v/>
      </c>
      <c r="AL15" s="54" t="str">
        <f>IF(AND('R. Seguridad de la Información'!$AE$67="Muy Alta",'R. Seguridad de la Información'!$AG$67="Catastrófico"),CONCATENATE("R10C",'R. Seguridad de la Información'!$U$67),"")</f>
        <v/>
      </c>
      <c r="AM15" s="55" t="str">
        <f>IF(AND('R. Seguridad de la Información'!$AE$68="Muy Alta",'R. Seguridad de la Información'!$AG$68="Catastrófico"),CONCATENATE("R10C",'R. Seguridad de la Información'!$U$68),"")</f>
        <v/>
      </c>
      <c r="AN15" s="75"/>
      <c r="AO15" s="634"/>
      <c r="AP15" s="635"/>
      <c r="AQ15" s="635"/>
      <c r="AR15" s="635"/>
      <c r="AS15" s="635"/>
      <c r="AT15" s="636"/>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523"/>
      <c r="C16" s="523"/>
      <c r="D16" s="524"/>
      <c r="E16" s="620" t="s">
        <v>104</v>
      </c>
      <c r="F16" s="621"/>
      <c r="G16" s="621"/>
      <c r="H16" s="621"/>
      <c r="I16" s="621"/>
      <c r="J16" s="56" t="str">
        <f>IF(AND('R. Seguridad de la Información'!$AE$9="Alta",'R. Seguridad de la Información'!$AG$9="Leve"),CONCATENATE("R1C",'R. Seguridad de la Información'!$U$9),"")</f>
        <v/>
      </c>
      <c r="K16" s="57" t="str">
        <f>IF(AND('R. Seguridad de la Información'!$AE$10="Alta",'R. Seguridad de la Información'!$AG$10="Leve"),CONCATENATE("R1C",'R. Seguridad de la Información'!$U$10),"")</f>
        <v/>
      </c>
      <c r="L16" s="57" t="str">
        <f>IF(AND('R. Seguridad de la Información'!$AE$11="Alta",'R. Seguridad de la Información'!$AG$11="Leve"),CONCATENATE("R1C",'R. Seguridad de la Información'!$U$11),"")</f>
        <v/>
      </c>
      <c r="M16" s="57" t="str">
        <f>IF(AND('R. Seguridad de la Información'!$AE$12="Alta",'R. Seguridad de la Información'!$AG$12="Leve"),CONCATENATE("R1C",'R. Seguridad de la Información'!$U$12),"")</f>
        <v/>
      </c>
      <c r="N16" s="57" t="str">
        <f>IF(AND('R. Seguridad de la Información'!$AE$13="Alta",'R. Seguridad de la Información'!$AG$13="Leve"),CONCATENATE("R1C",'R. Seguridad de la Información'!$U$13),"")</f>
        <v/>
      </c>
      <c r="O16" s="58" t="str">
        <f>IF(AND('R. Seguridad de la Información'!$AE$14="Alta",'R. Seguridad de la Información'!$AG$14="Leve"),CONCATENATE("R1C",'R. Seguridad de la Información'!$U$14),"")</f>
        <v/>
      </c>
      <c r="P16" s="56" t="str">
        <f>IF(AND('R. Seguridad de la Información'!$AE$9="Alta",'R. Seguridad de la Información'!$AG$9="Menor"),CONCATENATE("R1C",'R. Seguridad de la Información'!$U$9),"")</f>
        <v/>
      </c>
      <c r="Q16" s="57" t="str">
        <f>IF(AND('R. Seguridad de la Información'!$AE$10="Alta",'R. Seguridad de la Información'!$AG$10="Menor"),CONCATENATE("R1C",'R. Seguridad de la Información'!$U$10),"")</f>
        <v/>
      </c>
      <c r="R16" s="57" t="str">
        <f>IF(AND('R. Seguridad de la Información'!$AE$11="Alta",'R. Seguridad de la Información'!$AG$11="Menor"),CONCATENATE("R1C",'R. Seguridad de la Información'!$U$11),"")</f>
        <v/>
      </c>
      <c r="S16" s="57" t="str">
        <f>IF(AND('R. Seguridad de la Información'!$AE$12="Alta",'R. Seguridad de la Información'!$AG$12="Menor"),CONCATENATE("R1C",'R. Seguridad de la Información'!$U$12),"")</f>
        <v/>
      </c>
      <c r="T16" s="57" t="str">
        <f>IF(AND('R. Seguridad de la Información'!$AE$13="Alta",'R. Seguridad de la Información'!$AG$13="Menor"),CONCATENATE("R1C",'R. Seguridad de la Información'!$U$13),"")</f>
        <v/>
      </c>
      <c r="U16" s="58" t="str">
        <f>IF(AND('R. Seguridad de la Información'!$AE$14="Alta",'R. Seguridad de la Información'!$AG$14="Menor"),CONCATENATE("R1C",'R. Seguridad de la Información'!$U$14),"")</f>
        <v/>
      </c>
      <c r="V16" s="37" t="str">
        <f>IF(AND('R. Seguridad de la Información'!$AE$9="Alta",'R. Seguridad de la Información'!$AG$9="Moderado"),CONCATENATE("R1C",'R. Seguridad de la Información'!$U$9),"")</f>
        <v/>
      </c>
      <c r="W16" s="38" t="str">
        <f>IF(AND('R. Seguridad de la Información'!$AE$10="Alta",'R. Seguridad de la Información'!$AG$10="Moderado"),CONCATENATE("R1C",'R. Seguridad de la Información'!$U$10),"")</f>
        <v/>
      </c>
      <c r="X16" s="38" t="str">
        <f>IF(AND('R. Seguridad de la Información'!$AE$11="Alta",'R. Seguridad de la Información'!$AG$11="Moderado"),CONCATENATE("R1C",'R. Seguridad de la Información'!$U$11),"")</f>
        <v/>
      </c>
      <c r="Y16" s="38" t="str">
        <f>IF(AND('R. Seguridad de la Información'!$AE$12="Alta",'R. Seguridad de la Información'!$AG$12="Moderado"),CONCATENATE("R1C",'R. Seguridad de la Información'!$U$12),"")</f>
        <v/>
      </c>
      <c r="Z16" s="38" t="str">
        <f>IF(AND('R. Seguridad de la Información'!$AE$13="Alta",'R. Seguridad de la Información'!$AG$13="Moderado"),CONCATENATE("R1C",'R. Seguridad de la Información'!$U$13),"")</f>
        <v/>
      </c>
      <c r="AA16" s="39" t="str">
        <f>IF(AND('R. Seguridad de la Información'!$AE$14="Alta",'R. Seguridad de la Información'!$AG$14="Moderado"),CONCATENATE("R1C",'R. Seguridad de la Información'!$U$14),"")</f>
        <v/>
      </c>
      <c r="AB16" s="37" t="str">
        <f>IF(AND('R. Seguridad de la Información'!$AE$9="Alta",'R. Seguridad de la Información'!$AG$9="Mayor"),CONCATENATE("R1C",'R. Seguridad de la Información'!$U$9),"")</f>
        <v/>
      </c>
      <c r="AC16" s="38" t="str">
        <f>IF(AND('R. Seguridad de la Información'!$AE$10="Alta",'R. Seguridad de la Información'!$AG$10="Mayor"),CONCATENATE("R1C",'R. Seguridad de la Información'!$U$10),"")</f>
        <v/>
      </c>
      <c r="AD16" s="38" t="str">
        <f>IF(AND('R. Seguridad de la Información'!$AE$11="Alta",'R. Seguridad de la Información'!$AG$11="Mayor"),CONCATENATE("R1C",'R. Seguridad de la Información'!$U$11),"")</f>
        <v/>
      </c>
      <c r="AE16" s="38" t="str">
        <f>IF(AND('R. Seguridad de la Información'!$AE$12="Alta",'R. Seguridad de la Información'!$AG$12="Mayor"),CONCATENATE("R1C",'R. Seguridad de la Información'!$U$12),"")</f>
        <v/>
      </c>
      <c r="AF16" s="38" t="str">
        <f>IF(AND('R. Seguridad de la Información'!$AE$13="Alta",'R. Seguridad de la Información'!$AG$13="Mayor"),CONCATENATE("R1C",'R. Seguridad de la Información'!$U$13),"")</f>
        <v/>
      </c>
      <c r="AG16" s="39" t="str">
        <f>IF(AND('R. Seguridad de la Información'!$AE$14="Alta",'R. Seguridad de la Información'!$AG$14="Mayor"),CONCATENATE("R1C",'R. Seguridad de la Información'!$U$14),"")</f>
        <v/>
      </c>
      <c r="AH16" s="40" t="str">
        <f>IF(AND('R. Seguridad de la Información'!$AE$9="Alta",'R. Seguridad de la Información'!$AG$9="Catastrófico"),CONCATENATE("R1C",'R. Seguridad de la Información'!$U$9),"")</f>
        <v/>
      </c>
      <c r="AI16" s="41" t="str">
        <f>IF(AND('R. Seguridad de la Información'!$AE$10="Alta",'R. Seguridad de la Información'!$AG$10="Catastrófico"),CONCATENATE("R1C",'R. Seguridad de la Información'!$U$10),"")</f>
        <v/>
      </c>
      <c r="AJ16" s="41" t="str">
        <f>IF(AND('R. Seguridad de la Información'!$AE$11="Alta",'R. Seguridad de la Información'!$AG$11="Catastrófico"),CONCATENATE("R1C",'R. Seguridad de la Información'!$U$11),"")</f>
        <v/>
      </c>
      <c r="AK16" s="41" t="str">
        <f>IF(AND('R. Seguridad de la Información'!$AE$12="Alta",'R. Seguridad de la Información'!$AG$12="Catastrófico"),CONCATENATE("R1C",'R. Seguridad de la Información'!$U$12),"")</f>
        <v/>
      </c>
      <c r="AL16" s="41" t="str">
        <f>IF(AND('R. Seguridad de la Información'!$AE$13="Alta",'R. Seguridad de la Información'!$AG$13="Catastrófico"),CONCATENATE("R1C",'R. Seguridad de la Información'!$U$13),"")</f>
        <v/>
      </c>
      <c r="AM16" s="42" t="str">
        <f>IF(AND('R. Seguridad de la Información'!$AE$14="Alta",'R. Seguridad de la Información'!$AG$14="Catastrófico"),CONCATENATE("R1C",'R. Seguridad de la Información'!$U$14),"")</f>
        <v/>
      </c>
      <c r="AN16" s="75"/>
      <c r="AO16" s="611" t="s">
        <v>70</v>
      </c>
      <c r="AP16" s="612"/>
      <c r="AQ16" s="612"/>
      <c r="AR16" s="612"/>
      <c r="AS16" s="612"/>
      <c r="AT16" s="613"/>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523"/>
      <c r="C17" s="523"/>
      <c r="D17" s="524"/>
      <c r="E17" s="622"/>
      <c r="F17" s="623"/>
      <c r="G17" s="623"/>
      <c r="H17" s="623"/>
      <c r="I17" s="623"/>
      <c r="J17" s="59" t="str">
        <f>IF(AND('R. Seguridad de la Información'!$AE$15="Alta",'R. Seguridad de la Información'!$AG$15="Leve"),CONCATENATE("R2C",'R. Seguridad de la Información'!$U$15),"")</f>
        <v/>
      </c>
      <c r="K17" s="60" t="str">
        <f>IF(AND('R. Seguridad de la Información'!$AE$16="Alta",'R. Seguridad de la Información'!$AG$16="Leve"),CONCATENATE("R2C",'R. Seguridad de la Información'!$U$16),"")</f>
        <v/>
      </c>
      <c r="L17" s="60" t="str">
        <f>IF(AND('R. Seguridad de la Información'!$AE$17="Alta",'R. Seguridad de la Información'!$AG$17="Leve"),CONCATENATE("R2C",'R. Seguridad de la Información'!$U$17),"")</f>
        <v/>
      </c>
      <c r="M17" s="60" t="str">
        <f>IF(AND('R. Seguridad de la Información'!$AE$18="Alta",'R. Seguridad de la Información'!$AG$18="Leve"),CONCATENATE("R2C",'R. Seguridad de la Información'!$U$18),"")</f>
        <v/>
      </c>
      <c r="N17" s="60" t="str">
        <f>IF(AND('R. Seguridad de la Información'!$AE$19="Alta",'R. Seguridad de la Información'!$AG$19="Leve"),CONCATENATE("R2C",'R. Seguridad de la Información'!$U$19),"")</f>
        <v/>
      </c>
      <c r="O17" s="61" t="str">
        <f>IF(AND('R. Seguridad de la Información'!$AE$20="Alta",'R. Seguridad de la Información'!$AG$20="Leve"),CONCATENATE("R2C",'R. Seguridad de la Información'!$U$20),"")</f>
        <v/>
      </c>
      <c r="P17" s="59" t="str">
        <f>IF(AND('R. Seguridad de la Información'!$AE$15="Alta",'R. Seguridad de la Información'!$AG$15="Menor"),CONCATENATE("R2C",'R. Seguridad de la Información'!$U$15),"")</f>
        <v/>
      </c>
      <c r="Q17" s="60" t="str">
        <f>IF(AND('R. Seguridad de la Información'!$AE$16="Alta",'R. Seguridad de la Información'!$AG$16="Menor"),CONCATENATE("R2C",'R. Seguridad de la Información'!$U$16),"")</f>
        <v/>
      </c>
      <c r="R17" s="60" t="str">
        <f>IF(AND('R. Seguridad de la Información'!$AE$17="Alta",'R. Seguridad de la Información'!$AG$17="Menor"),CONCATENATE("R2C",'R. Seguridad de la Información'!$U$17),"")</f>
        <v/>
      </c>
      <c r="S17" s="60" t="str">
        <f>IF(AND('R. Seguridad de la Información'!$AE$18="Alta",'R. Seguridad de la Información'!$AG$18="Menor"),CONCATENATE("R2C",'R. Seguridad de la Información'!$U$18),"")</f>
        <v/>
      </c>
      <c r="T17" s="60" t="str">
        <f>IF(AND('R. Seguridad de la Información'!$AE$19="Alta",'R. Seguridad de la Información'!$AG$19="Menor"),CONCATENATE("R2C",'R. Seguridad de la Información'!$U$19),"")</f>
        <v/>
      </c>
      <c r="U17" s="61" t="str">
        <f>IF(AND('R. Seguridad de la Información'!$AE$20="Alta",'R. Seguridad de la Información'!$AG$20="Menor"),CONCATENATE("R2C",'R. Seguridad de la Información'!$U$20),"")</f>
        <v/>
      </c>
      <c r="V17" s="43" t="str">
        <f>IF(AND('R. Seguridad de la Información'!$AE$15="Alta",'R. Seguridad de la Información'!$AG$15="Moderado"),CONCATENATE("R2C",'R. Seguridad de la Información'!$U$15),"")</f>
        <v/>
      </c>
      <c r="W17" s="44" t="str">
        <f>IF(AND('R. Seguridad de la Información'!$AE$16="Alta",'R. Seguridad de la Información'!$AG$16="Moderado"),CONCATENATE("R2C",'R. Seguridad de la Información'!$U$16),"")</f>
        <v/>
      </c>
      <c r="X17" s="44" t="str">
        <f>IF(AND('R. Seguridad de la Información'!$AE$17="Alta",'R. Seguridad de la Información'!$AG$17="Moderado"),CONCATENATE("R2C",'R. Seguridad de la Información'!$U$17),"")</f>
        <v/>
      </c>
      <c r="Y17" s="44" t="str">
        <f>IF(AND('R. Seguridad de la Información'!$AE$18="Alta",'R. Seguridad de la Información'!$AG$18="Moderado"),CONCATENATE("R2C",'R. Seguridad de la Información'!$U$18),"")</f>
        <v/>
      </c>
      <c r="Z17" s="44" t="str">
        <f>IF(AND('R. Seguridad de la Información'!$AE$19="Alta",'R. Seguridad de la Información'!$AG$19="Moderado"),CONCATENATE("R2C",'R. Seguridad de la Información'!$U$19),"")</f>
        <v/>
      </c>
      <c r="AA17" s="45" t="str">
        <f>IF(AND('R. Seguridad de la Información'!$AE$20="Alta",'R. Seguridad de la Información'!$AG$20="Moderado"),CONCATENATE("R2C",'R. Seguridad de la Información'!$U$20),"")</f>
        <v/>
      </c>
      <c r="AB17" s="43" t="str">
        <f>IF(AND('R. Seguridad de la Información'!$AE$15="Alta",'R. Seguridad de la Información'!$AG$15="Mayor"),CONCATENATE("R2C",'R. Seguridad de la Información'!$U$15),"")</f>
        <v/>
      </c>
      <c r="AC17" s="44" t="str">
        <f>IF(AND('R. Seguridad de la Información'!$AE$16="Alta",'R. Seguridad de la Información'!$AG$16="Mayor"),CONCATENATE("R2C",'R. Seguridad de la Información'!$U$16),"")</f>
        <v/>
      </c>
      <c r="AD17" s="44" t="str">
        <f>IF(AND('R. Seguridad de la Información'!$AE$17="Alta",'R. Seguridad de la Información'!$AG$17="Mayor"),CONCATENATE("R2C",'R. Seguridad de la Información'!$U$17),"")</f>
        <v/>
      </c>
      <c r="AE17" s="44" t="str">
        <f>IF(AND('R. Seguridad de la Información'!$AE$18="Alta",'R. Seguridad de la Información'!$AG$18="Mayor"),CONCATENATE("R2C",'R. Seguridad de la Información'!$U$18),"")</f>
        <v/>
      </c>
      <c r="AF17" s="44" t="str">
        <f>IF(AND('R. Seguridad de la Información'!$AE$19="Alta",'R. Seguridad de la Información'!$AG$19="Mayor"),CONCATENATE("R2C",'R. Seguridad de la Información'!$U$19),"")</f>
        <v/>
      </c>
      <c r="AG17" s="45" t="str">
        <f>IF(AND('R. Seguridad de la Información'!$AE$20="Alta",'R. Seguridad de la Información'!$AG$20="Mayor"),CONCATENATE("R2C",'R. Seguridad de la Información'!$U$20),"")</f>
        <v/>
      </c>
      <c r="AH17" s="46" t="str">
        <f>IF(AND('R. Seguridad de la Información'!$AE$15="Alta",'R. Seguridad de la Información'!$AG$15="Catastrófico"),CONCATENATE("R2C",'R. Seguridad de la Información'!$U$15),"")</f>
        <v/>
      </c>
      <c r="AI17" s="47" t="str">
        <f>IF(AND('R. Seguridad de la Información'!$AE$16="Alta",'R. Seguridad de la Información'!$AG$16="Catastrófico"),CONCATENATE("R2C",'R. Seguridad de la Información'!$U$16),"")</f>
        <v/>
      </c>
      <c r="AJ17" s="47" t="str">
        <f>IF(AND('R. Seguridad de la Información'!$AE$17="Alta",'R. Seguridad de la Información'!$AG$17="Catastrófico"),CONCATENATE("R2C",'R. Seguridad de la Información'!$U$17),"")</f>
        <v/>
      </c>
      <c r="AK17" s="47" t="str">
        <f>IF(AND('R. Seguridad de la Información'!$AE$18="Alta",'R. Seguridad de la Información'!$AG$18="Catastrófico"),CONCATENATE("R2C",'R. Seguridad de la Información'!$U$18),"")</f>
        <v/>
      </c>
      <c r="AL17" s="47" t="str">
        <f>IF(AND('R. Seguridad de la Información'!$AE$19="Alta",'R. Seguridad de la Información'!$AG$19="Catastrófico"),CONCATENATE("R2C",'R. Seguridad de la Información'!$U$19),"")</f>
        <v/>
      </c>
      <c r="AM17" s="48" t="str">
        <f>IF(AND('R. Seguridad de la Información'!$AE$20="Alta",'R. Seguridad de la Información'!$AG$20="Catastrófico"),CONCATENATE("R2C",'R. Seguridad de la Información'!$U$20),"")</f>
        <v/>
      </c>
      <c r="AN17" s="75"/>
      <c r="AO17" s="614"/>
      <c r="AP17" s="615"/>
      <c r="AQ17" s="615"/>
      <c r="AR17" s="615"/>
      <c r="AS17" s="615"/>
      <c r="AT17" s="616"/>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523"/>
      <c r="C18" s="523"/>
      <c r="D18" s="524"/>
      <c r="E18" s="624"/>
      <c r="F18" s="625"/>
      <c r="G18" s="625"/>
      <c r="H18" s="625"/>
      <c r="I18" s="623"/>
      <c r="J18" s="59" t="str">
        <f>IF(AND('R. Seguridad de la Información'!$AE$21="Alta",'R. Seguridad de la Información'!$AG$21="Leve"),CONCATENATE("R3C",'R. Seguridad de la Información'!$U$21),"")</f>
        <v/>
      </c>
      <c r="K18" s="60" t="str">
        <f>IF(AND('R. Seguridad de la Información'!$AE$22="Alta",'R. Seguridad de la Información'!$AG$22="Leve"),CONCATENATE("R3C",'R. Seguridad de la Información'!$U$22),"")</f>
        <v/>
      </c>
      <c r="L18" s="60" t="str">
        <f>IF(AND('R. Seguridad de la Información'!$AE$23="Alta",'R. Seguridad de la Información'!$AG$23="Leve"),CONCATENATE("R3C",'R. Seguridad de la Información'!$U$23),"")</f>
        <v/>
      </c>
      <c r="M18" s="60" t="str">
        <f>IF(AND('R. Seguridad de la Información'!$AE$24="Alta",'R. Seguridad de la Información'!$AG$24="Leve"),CONCATENATE("R3C",'R. Seguridad de la Información'!$U$24),"")</f>
        <v/>
      </c>
      <c r="N18" s="60" t="str">
        <f>IF(AND('R. Seguridad de la Información'!$AE$25="Alta",'R. Seguridad de la Información'!$AG$25="Leve"),CONCATENATE("R3C",'R. Seguridad de la Información'!$U$25),"")</f>
        <v/>
      </c>
      <c r="O18" s="61" t="str">
        <f>IF(AND('R. Seguridad de la Información'!$AE$26="Alta",'R. Seguridad de la Información'!$AG$26="Leve"),CONCATENATE("R3C",'R. Seguridad de la Información'!$U$26),"")</f>
        <v/>
      </c>
      <c r="P18" s="59" t="str">
        <f>IF(AND('R. Seguridad de la Información'!$AE$21="Alta",'R. Seguridad de la Información'!$AG$21="Menor"),CONCATENATE("R3C",'R. Seguridad de la Información'!$U$21),"")</f>
        <v/>
      </c>
      <c r="Q18" s="60" t="str">
        <f>IF(AND('R. Seguridad de la Información'!$AE$22="Alta",'R. Seguridad de la Información'!$AG$22="Menor"),CONCATENATE("R3C",'R. Seguridad de la Información'!$U$22),"")</f>
        <v/>
      </c>
      <c r="R18" s="60" t="str">
        <f>IF(AND('R. Seguridad de la Información'!$AE$23="Alta",'R. Seguridad de la Información'!$AG$23="Menor"),CONCATENATE("R3C",'R. Seguridad de la Información'!$U$23),"")</f>
        <v/>
      </c>
      <c r="S18" s="60" t="str">
        <f>IF(AND('R. Seguridad de la Información'!$AE$24="Alta",'R. Seguridad de la Información'!$AG$24="Menor"),CONCATENATE("R3C",'R. Seguridad de la Información'!$U$24),"")</f>
        <v/>
      </c>
      <c r="T18" s="60" t="str">
        <f>IF(AND('R. Seguridad de la Información'!$AE$25="Alta",'R. Seguridad de la Información'!$AG$25="Menor"),CONCATENATE("R3C",'R. Seguridad de la Información'!$U$25),"")</f>
        <v/>
      </c>
      <c r="U18" s="61" t="str">
        <f>IF(AND('R. Seguridad de la Información'!$AE$26="Alta",'R. Seguridad de la Información'!$AG$26="Menor"),CONCATENATE("R3C",'R. Seguridad de la Información'!$U$26),"")</f>
        <v/>
      </c>
      <c r="V18" s="43" t="str">
        <f>IF(AND('R. Seguridad de la Información'!$AE$21="Alta",'R. Seguridad de la Información'!$AG$21="Moderado"),CONCATENATE("R3C",'R. Seguridad de la Información'!$U$21),"")</f>
        <v/>
      </c>
      <c r="W18" s="44" t="str">
        <f>IF(AND('R. Seguridad de la Información'!$AE$22="Alta",'R. Seguridad de la Información'!$AG$22="Moderado"),CONCATENATE("R3C",'R. Seguridad de la Información'!$U$22),"")</f>
        <v/>
      </c>
      <c r="X18" s="44" t="str">
        <f>IF(AND('R. Seguridad de la Información'!$AE$23="Alta",'R. Seguridad de la Información'!$AG$23="Moderado"),CONCATENATE("R3C",'R. Seguridad de la Información'!$U$23),"")</f>
        <v/>
      </c>
      <c r="Y18" s="44" t="str">
        <f>IF(AND('R. Seguridad de la Información'!$AE$24="Alta",'R. Seguridad de la Información'!$AG$24="Moderado"),CONCATENATE("R3C",'R. Seguridad de la Información'!$U$24),"")</f>
        <v/>
      </c>
      <c r="Z18" s="44" t="str">
        <f>IF(AND('R. Seguridad de la Información'!$AE$25="Alta",'R. Seguridad de la Información'!$AG$25="Moderado"),CONCATENATE("R3C",'R. Seguridad de la Información'!$U$25),"")</f>
        <v/>
      </c>
      <c r="AA18" s="45" t="str">
        <f>IF(AND('R. Seguridad de la Información'!$AE$26="Alta",'R. Seguridad de la Información'!$AG$26="Moderado"),CONCATENATE("R3C",'R. Seguridad de la Información'!$U$26),"")</f>
        <v/>
      </c>
      <c r="AB18" s="43" t="str">
        <f>IF(AND('R. Seguridad de la Información'!$AE$21="Alta",'R. Seguridad de la Información'!$AG$21="Mayor"),CONCATENATE("R3C",'R. Seguridad de la Información'!$U$21),"")</f>
        <v/>
      </c>
      <c r="AC18" s="44" t="str">
        <f>IF(AND('R. Seguridad de la Información'!$AE$22="Alta",'R. Seguridad de la Información'!$AG$22="Mayor"),CONCATENATE("R3C",'R. Seguridad de la Información'!$U$22),"")</f>
        <v/>
      </c>
      <c r="AD18" s="44" t="str">
        <f>IF(AND('R. Seguridad de la Información'!$AE$23="Alta",'R. Seguridad de la Información'!$AG$23="Mayor"),CONCATENATE("R3C",'R. Seguridad de la Información'!$U$23),"")</f>
        <v/>
      </c>
      <c r="AE18" s="44" t="str">
        <f>IF(AND('R. Seguridad de la Información'!$AE$24="Alta",'R. Seguridad de la Información'!$AG$24="Mayor"),CONCATENATE("R3C",'R. Seguridad de la Información'!$U$24),"")</f>
        <v/>
      </c>
      <c r="AF18" s="44" t="str">
        <f>IF(AND('R. Seguridad de la Información'!$AE$25="Alta",'R. Seguridad de la Información'!$AG$25="Mayor"),CONCATENATE("R3C",'R. Seguridad de la Información'!$U$25),"")</f>
        <v/>
      </c>
      <c r="AG18" s="45" t="str">
        <f>IF(AND('R. Seguridad de la Información'!$AE$26="Alta",'R. Seguridad de la Información'!$AG$26="Mayor"),CONCATENATE("R3C",'R. Seguridad de la Información'!$U$26),"")</f>
        <v/>
      </c>
      <c r="AH18" s="46" t="str">
        <f>IF(AND('R. Seguridad de la Información'!$AE$21="Alta",'R. Seguridad de la Información'!$AG$21="Catastrófico"),CONCATENATE("R3C",'R. Seguridad de la Información'!$U$21),"")</f>
        <v/>
      </c>
      <c r="AI18" s="47" t="str">
        <f>IF(AND('R. Seguridad de la Información'!$AE$22="Alta",'R. Seguridad de la Información'!$AG$22="Catastrófico"),CONCATENATE("R3C",'R. Seguridad de la Información'!$U$22),"")</f>
        <v/>
      </c>
      <c r="AJ18" s="47" t="str">
        <f>IF(AND('R. Seguridad de la Información'!$AE$23="Alta",'R. Seguridad de la Información'!$AG$23="Catastrófico"),CONCATENATE("R3C",'R. Seguridad de la Información'!$U$23),"")</f>
        <v/>
      </c>
      <c r="AK18" s="47" t="str">
        <f>IF(AND('R. Seguridad de la Información'!$AE$24="Alta",'R. Seguridad de la Información'!$AG$24="Catastrófico"),CONCATENATE("R3C",'R. Seguridad de la Información'!$U$24),"")</f>
        <v/>
      </c>
      <c r="AL18" s="47" t="str">
        <f>IF(AND('R. Seguridad de la Información'!$AE$25="Alta",'R. Seguridad de la Información'!$AG$25="Catastrófico"),CONCATENATE("R3C",'R. Seguridad de la Información'!$U$25),"")</f>
        <v/>
      </c>
      <c r="AM18" s="48" t="str">
        <f>IF(AND('R. Seguridad de la Información'!$AE$26="Alta",'R. Seguridad de la Información'!$AG$26="Catastrófico"),CONCATENATE("R3C",'R. Seguridad de la Información'!$U$26),"")</f>
        <v/>
      </c>
      <c r="AN18" s="75"/>
      <c r="AO18" s="614"/>
      <c r="AP18" s="615"/>
      <c r="AQ18" s="615"/>
      <c r="AR18" s="615"/>
      <c r="AS18" s="615"/>
      <c r="AT18" s="616"/>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523"/>
      <c r="C19" s="523"/>
      <c r="D19" s="524"/>
      <c r="E19" s="624"/>
      <c r="F19" s="625"/>
      <c r="G19" s="625"/>
      <c r="H19" s="625"/>
      <c r="I19" s="623"/>
      <c r="J19" s="59" t="str">
        <f>IF(AND('R. Seguridad de la Información'!$AE$27="Alta",'R. Seguridad de la Información'!$AG$27="Leve"),CONCATENATE("R4C",'R. Seguridad de la Información'!$U$27),"")</f>
        <v/>
      </c>
      <c r="K19" s="60" t="str">
        <f>IF(AND('R. Seguridad de la Información'!$AE$28="Alta",'R. Seguridad de la Información'!$AG$28="Leve"),CONCATENATE("R4C",'R. Seguridad de la Información'!$U$28),"")</f>
        <v/>
      </c>
      <c r="L19" s="60" t="str">
        <f>IF(AND('R. Seguridad de la Información'!$AE$29="Alta",'R. Seguridad de la Información'!$AG$29="Leve"),CONCATENATE("R4C",'R. Seguridad de la Información'!$U$29),"")</f>
        <v/>
      </c>
      <c r="M19" s="60" t="str">
        <f>IF(AND('R. Seguridad de la Información'!$AE$30="Alta",'R. Seguridad de la Información'!$AG$30="Leve"),CONCATENATE("R4C",'R. Seguridad de la Información'!$U$30),"")</f>
        <v/>
      </c>
      <c r="N19" s="60" t="str">
        <f>IF(AND('R. Seguridad de la Información'!$AE$31="Alta",'R. Seguridad de la Información'!$AG$31="Leve"),CONCATENATE("R4C",'R. Seguridad de la Información'!$U$31),"")</f>
        <v/>
      </c>
      <c r="O19" s="61" t="str">
        <f>IF(AND('R. Seguridad de la Información'!$AE$32="Alta",'R. Seguridad de la Información'!$AG$32="Leve"),CONCATENATE("R4C",'R. Seguridad de la Información'!$U$32),"")</f>
        <v/>
      </c>
      <c r="P19" s="59" t="str">
        <f>IF(AND('R. Seguridad de la Información'!$AE$27="Alta",'R. Seguridad de la Información'!$AG$27="Menor"),CONCATENATE("R4C",'R. Seguridad de la Información'!$U$27),"")</f>
        <v/>
      </c>
      <c r="Q19" s="60" t="str">
        <f>IF(AND('R. Seguridad de la Información'!$AE$28="Alta",'R. Seguridad de la Información'!$AG$28="Menor"),CONCATENATE("R4C",'R. Seguridad de la Información'!$U$28),"")</f>
        <v/>
      </c>
      <c r="R19" s="60" t="str">
        <f>IF(AND('R. Seguridad de la Información'!$AE$29="Alta",'R. Seguridad de la Información'!$AG$29="Menor"),CONCATENATE("R4C",'R. Seguridad de la Información'!$U$29),"")</f>
        <v/>
      </c>
      <c r="S19" s="60" t="str">
        <f>IF(AND('R. Seguridad de la Información'!$AE$30="Alta",'R. Seguridad de la Información'!$AG$30="Menor"),CONCATENATE("R4C",'R. Seguridad de la Información'!$U$30),"")</f>
        <v/>
      </c>
      <c r="T19" s="60" t="str">
        <f>IF(AND('R. Seguridad de la Información'!$AE$31="Alta",'R. Seguridad de la Información'!$AG$31="Menor"),CONCATENATE("R4C",'R. Seguridad de la Información'!$U$31),"")</f>
        <v/>
      </c>
      <c r="U19" s="61" t="str">
        <f>IF(AND('R. Seguridad de la Información'!$AE$32="Alta",'R. Seguridad de la Información'!$AG$32="Menor"),CONCATENATE("R4C",'R. Seguridad de la Información'!$U$32),"")</f>
        <v/>
      </c>
      <c r="V19" s="43" t="str">
        <f>IF(AND('R. Seguridad de la Información'!$AE$27="Alta",'R. Seguridad de la Información'!$AG$27="Moderado"),CONCATENATE("R4C",'R. Seguridad de la Información'!$U$27),"")</f>
        <v/>
      </c>
      <c r="W19" s="44" t="str">
        <f>IF(AND('R. Seguridad de la Información'!$AE$28="Alta",'R. Seguridad de la Información'!$AG$28="Moderado"),CONCATENATE("R4C",'R. Seguridad de la Información'!$U$28),"")</f>
        <v/>
      </c>
      <c r="X19" s="49" t="str">
        <f>IF(AND('R. Seguridad de la Información'!$AE$29="Alta",'R. Seguridad de la Información'!$AG$29="Moderado"),CONCATENATE("R4C",'R. Seguridad de la Información'!$U$29),"")</f>
        <v/>
      </c>
      <c r="Y19" s="49" t="str">
        <f>IF(AND('R. Seguridad de la Información'!$AE$30="Alta",'R. Seguridad de la Información'!$AG$30="Moderado"),CONCATENATE("R4C",'R. Seguridad de la Información'!$U$30),"")</f>
        <v/>
      </c>
      <c r="Z19" s="49" t="str">
        <f>IF(AND('R. Seguridad de la Información'!$AE$31="Alta",'R. Seguridad de la Información'!$AG$31="Moderado"),CONCATENATE("R4C",'R. Seguridad de la Información'!$U$31),"")</f>
        <v/>
      </c>
      <c r="AA19" s="45" t="str">
        <f>IF(AND('R. Seguridad de la Información'!$AE$32="Alta",'R. Seguridad de la Información'!$AG$32="Moderado"),CONCATENATE("R4C",'R. Seguridad de la Información'!$U$32),"")</f>
        <v/>
      </c>
      <c r="AB19" s="43" t="str">
        <f>IF(AND('R. Seguridad de la Información'!$AE$27="Alta",'R. Seguridad de la Información'!$AG$27="Mayor"),CONCATENATE("R4C",'R. Seguridad de la Información'!$U$27),"")</f>
        <v/>
      </c>
      <c r="AC19" s="44" t="str">
        <f>IF(AND('R. Seguridad de la Información'!$AE$28="Alta",'R. Seguridad de la Información'!$AG$28="Mayor"),CONCATENATE("R4C",'R. Seguridad de la Información'!$U$28),"")</f>
        <v/>
      </c>
      <c r="AD19" s="49" t="str">
        <f>IF(AND('R. Seguridad de la Información'!$AE$29="Alta",'R. Seguridad de la Información'!$AG$29="Mayor"),CONCATENATE("R4C",'R. Seguridad de la Información'!$U$29),"")</f>
        <v/>
      </c>
      <c r="AE19" s="49" t="str">
        <f>IF(AND('R. Seguridad de la Información'!$AE$30="Alta",'R. Seguridad de la Información'!$AG$30="Mayor"),CONCATENATE("R4C",'R. Seguridad de la Información'!$U$30),"")</f>
        <v/>
      </c>
      <c r="AF19" s="49" t="str">
        <f>IF(AND('R. Seguridad de la Información'!$AE$31="Alta",'R. Seguridad de la Información'!$AG$31="Mayor"),CONCATENATE("R4C",'R. Seguridad de la Información'!$U$31),"")</f>
        <v/>
      </c>
      <c r="AG19" s="45" t="str">
        <f>IF(AND('R. Seguridad de la Información'!$AE$32="Alta",'R. Seguridad de la Información'!$AG$32="Mayor"),CONCATENATE("R4C",'R. Seguridad de la Información'!$U$32),"")</f>
        <v/>
      </c>
      <c r="AH19" s="46" t="str">
        <f>IF(AND('R. Seguridad de la Información'!$AE$27="Alta",'R. Seguridad de la Información'!$AG$27="Catastrófico"),CONCATENATE("R4C",'R. Seguridad de la Información'!$U$27),"")</f>
        <v/>
      </c>
      <c r="AI19" s="47" t="str">
        <f>IF(AND('R. Seguridad de la Información'!$AE$28="Alta",'R. Seguridad de la Información'!$AG$28="Catastrófico"),CONCATENATE("R4C",'R. Seguridad de la Información'!$U$28),"")</f>
        <v/>
      </c>
      <c r="AJ19" s="47" t="str">
        <f>IF(AND('R. Seguridad de la Información'!$AE$29="Alta",'R. Seguridad de la Información'!$AG$29="Catastrófico"),CONCATENATE("R4C",'R. Seguridad de la Información'!$U$29),"")</f>
        <v/>
      </c>
      <c r="AK19" s="47" t="str">
        <f>IF(AND('R. Seguridad de la Información'!$AE$30="Alta",'R. Seguridad de la Información'!$AG$30="Catastrófico"),CONCATENATE("R4C",'R. Seguridad de la Información'!$U$30),"")</f>
        <v/>
      </c>
      <c r="AL19" s="47" t="str">
        <f>IF(AND('R. Seguridad de la Información'!$AE$31="Alta",'R. Seguridad de la Información'!$AG$31="Catastrófico"),CONCATENATE("R4C",'R. Seguridad de la Información'!$U$31),"")</f>
        <v/>
      </c>
      <c r="AM19" s="48" t="str">
        <f>IF(AND('R. Seguridad de la Información'!$AE$32="Alta",'R. Seguridad de la Información'!$AG$32="Catastrófico"),CONCATENATE("R4C",'R. Seguridad de la Información'!$U$32),"")</f>
        <v/>
      </c>
      <c r="AN19" s="75"/>
      <c r="AO19" s="614"/>
      <c r="AP19" s="615"/>
      <c r="AQ19" s="615"/>
      <c r="AR19" s="615"/>
      <c r="AS19" s="615"/>
      <c r="AT19" s="616"/>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523"/>
      <c r="C20" s="523"/>
      <c r="D20" s="524"/>
      <c r="E20" s="624"/>
      <c r="F20" s="625"/>
      <c r="G20" s="625"/>
      <c r="H20" s="625"/>
      <c r="I20" s="623"/>
      <c r="J20" s="59" t="str">
        <f>IF(AND('R. Seguridad de la Información'!$AE$33="Alta",'R. Seguridad de la Información'!$AG$33="Leve"),CONCATENATE("R5C",'R. Seguridad de la Información'!$U$33),"")</f>
        <v/>
      </c>
      <c r="K20" s="60" t="str">
        <f>IF(AND('R. Seguridad de la Información'!$AE$34="Alta",'R. Seguridad de la Información'!$AG$34="Leve"),CONCATENATE("R5C",'R. Seguridad de la Información'!$U$34),"")</f>
        <v/>
      </c>
      <c r="L20" s="60" t="str">
        <f>IF(AND('R. Seguridad de la Información'!$AE$35="Alta",'R. Seguridad de la Información'!$AG$35="Leve"),CONCATENATE("R5C",'R. Seguridad de la Información'!$U$35),"")</f>
        <v/>
      </c>
      <c r="M20" s="60" t="str">
        <f>IF(AND('R. Seguridad de la Información'!$AE$36="Alta",'R. Seguridad de la Información'!$AG$36="Leve"),CONCATENATE("R5C",'R. Seguridad de la Información'!$U$36),"")</f>
        <v/>
      </c>
      <c r="N20" s="60" t="str">
        <f>IF(AND('R. Seguridad de la Información'!$AE$37="Alta",'R. Seguridad de la Información'!$AG$37="Leve"),CONCATENATE("R5C",'R. Seguridad de la Información'!$U$37),"")</f>
        <v/>
      </c>
      <c r="O20" s="61" t="str">
        <f>IF(AND('R. Seguridad de la Información'!$AE$38="Alta",'R. Seguridad de la Información'!$AG$38="Leve"),CONCATENATE("R5C",'R. Seguridad de la Información'!$U$38),"")</f>
        <v/>
      </c>
      <c r="P20" s="59" t="str">
        <f>IF(AND('R. Seguridad de la Información'!$AE$33="Alta",'R. Seguridad de la Información'!$AG$33="Menor"),CONCATENATE("R5C",'R. Seguridad de la Información'!$U$33),"")</f>
        <v/>
      </c>
      <c r="Q20" s="60" t="str">
        <f>IF(AND('R. Seguridad de la Información'!$AE$34="Alta",'R. Seguridad de la Información'!$AG$34="Menor"),CONCATENATE("R5C",'R. Seguridad de la Información'!$U$34),"")</f>
        <v/>
      </c>
      <c r="R20" s="60" t="str">
        <f>IF(AND('R. Seguridad de la Información'!$AE$35="Alta",'R. Seguridad de la Información'!$AG$35="Menor"),CONCATENATE("R5C",'R. Seguridad de la Información'!$U$35),"")</f>
        <v/>
      </c>
      <c r="S20" s="60" t="str">
        <f>IF(AND('R. Seguridad de la Información'!$AE$36="Alta",'R. Seguridad de la Información'!$AG$36="Menor"),CONCATENATE("R5C",'R. Seguridad de la Información'!$U$36),"")</f>
        <v/>
      </c>
      <c r="T20" s="60" t="str">
        <f>IF(AND('R. Seguridad de la Información'!$AE$37="Alta",'R. Seguridad de la Información'!$AG$37="Menor"),CONCATENATE("R5C",'R. Seguridad de la Información'!$U$37),"")</f>
        <v/>
      </c>
      <c r="U20" s="61" t="str">
        <f>IF(AND('R. Seguridad de la Información'!$AE$38="Alta",'R. Seguridad de la Información'!$AG$38="Menor"),CONCATENATE("R5C",'R. Seguridad de la Información'!$U$38),"")</f>
        <v/>
      </c>
      <c r="V20" s="43" t="str">
        <f>IF(AND('R. Seguridad de la Información'!$AE$33="Alta",'R. Seguridad de la Información'!$AG$33="Moderado"),CONCATENATE("R5C",'R. Seguridad de la Información'!$U$33),"")</f>
        <v/>
      </c>
      <c r="W20" s="44" t="str">
        <f>IF(AND('R. Seguridad de la Información'!$AE$34="Alta",'R. Seguridad de la Información'!$AG$34="Moderado"),CONCATENATE("R5C",'R. Seguridad de la Información'!$U$34),"")</f>
        <v/>
      </c>
      <c r="X20" s="49" t="str">
        <f>IF(AND('R. Seguridad de la Información'!$AE$35="Alta",'R. Seguridad de la Información'!$AG$35="Moderado"),CONCATENATE("R5C",'R. Seguridad de la Información'!$U$35),"")</f>
        <v/>
      </c>
      <c r="Y20" s="49" t="str">
        <f>IF(AND('R. Seguridad de la Información'!$AE$36="Alta",'R. Seguridad de la Información'!$AG$36="Moderado"),CONCATENATE("R5C",'R. Seguridad de la Información'!$U$36),"")</f>
        <v/>
      </c>
      <c r="Z20" s="49" t="str">
        <f>IF(AND('R. Seguridad de la Información'!$AE$37="Alta",'R. Seguridad de la Información'!$AG$37="Moderado"),CONCATENATE("R5C",'R. Seguridad de la Información'!$U$37),"")</f>
        <v/>
      </c>
      <c r="AA20" s="45" t="str">
        <f>IF(AND('R. Seguridad de la Información'!$AE$38="Alta",'R. Seguridad de la Información'!$AG$38="Moderado"),CONCATENATE("R5C",'R. Seguridad de la Información'!$U$38),"")</f>
        <v/>
      </c>
      <c r="AB20" s="43" t="str">
        <f>IF(AND('R. Seguridad de la Información'!$AE$33="Alta",'R. Seguridad de la Información'!$AG$33="Mayor"),CONCATENATE("R5C",'R. Seguridad de la Información'!$U$33),"")</f>
        <v/>
      </c>
      <c r="AC20" s="44" t="str">
        <f>IF(AND('R. Seguridad de la Información'!$AE$34="Alta",'R. Seguridad de la Información'!$AG$34="Mayor"),CONCATENATE("R5C",'R. Seguridad de la Información'!$U$34),"")</f>
        <v/>
      </c>
      <c r="AD20" s="49" t="str">
        <f>IF(AND('R. Seguridad de la Información'!$AE$35="Alta",'R. Seguridad de la Información'!$AG$35="Mayor"),CONCATENATE("R5C",'R. Seguridad de la Información'!$U$35),"")</f>
        <v/>
      </c>
      <c r="AE20" s="49" t="str">
        <f>IF(AND('R. Seguridad de la Información'!$AE$36="Alta",'R. Seguridad de la Información'!$AG$36="Mayor"),CONCATENATE("R5C",'R. Seguridad de la Información'!$U$36),"")</f>
        <v/>
      </c>
      <c r="AF20" s="49" t="str">
        <f>IF(AND('R. Seguridad de la Información'!$AE$37="Alta",'R. Seguridad de la Información'!$AG$37="Mayor"),CONCATENATE("R5C",'R. Seguridad de la Información'!$U$37),"")</f>
        <v/>
      </c>
      <c r="AG20" s="45" t="str">
        <f>IF(AND('R. Seguridad de la Información'!$AE$38="Alta",'R. Seguridad de la Información'!$AG$38="Mayor"),CONCATENATE("R5C",'R. Seguridad de la Información'!$U$38),"")</f>
        <v/>
      </c>
      <c r="AH20" s="46" t="str">
        <f>IF(AND('R. Seguridad de la Información'!$AE$33="Alta",'R. Seguridad de la Información'!$AG$33="Catastrófico"),CONCATENATE("R5C",'R. Seguridad de la Información'!$U$33),"")</f>
        <v/>
      </c>
      <c r="AI20" s="47" t="str">
        <f>IF(AND('R. Seguridad de la Información'!$AE$34="Alta",'R. Seguridad de la Información'!$AG$34="Catastrófico"),CONCATENATE("R5C",'R. Seguridad de la Información'!$U$34),"")</f>
        <v/>
      </c>
      <c r="AJ20" s="47" t="str">
        <f>IF(AND('R. Seguridad de la Información'!$AE$35="Alta",'R. Seguridad de la Información'!$AG$35="Catastrófico"),CONCATENATE("R5C",'R. Seguridad de la Información'!$U$35),"")</f>
        <v/>
      </c>
      <c r="AK20" s="47" t="str">
        <f>IF(AND('R. Seguridad de la Información'!$AE$36="Alta",'R. Seguridad de la Información'!$AG$36="Catastrófico"),CONCATENATE("R5C",'R. Seguridad de la Información'!$U$36),"")</f>
        <v/>
      </c>
      <c r="AL20" s="47" t="str">
        <f>IF(AND('R. Seguridad de la Información'!$AE$37="Alta",'R. Seguridad de la Información'!$AG$37="Catastrófico"),CONCATENATE("R5C",'R. Seguridad de la Información'!$U$37),"")</f>
        <v/>
      </c>
      <c r="AM20" s="48" t="str">
        <f>IF(AND('R. Seguridad de la Información'!$AE$38="Alta",'R. Seguridad de la Información'!$AG$38="Catastrófico"),CONCATENATE("R5C",'R. Seguridad de la Información'!$U$38),"")</f>
        <v/>
      </c>
      <c r="AN20" s="75"/>
      <c r="AO20" s="614"/>
      <c r="AP20" s="615"/>
      <c r="AQ20" s="615"/>
      <c r="AR20" s="615"/>
      <c r="AS20" s="615"/>
      <c r="AT20" s="616"/>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523"/>
      <c r="C21" s="523"/>
      <c r="D21" s="524"/>
      <c r="E21" s="624"/>
      <c r="F21" s="625"/>
      <c r="G21" s="625"/>
      <c r="H21" s="625"/>
      <c r="I21" s="623"/>
      <c r="J21" s="59" t="str">
        <f>IF(AND('R. Seguridad de la Información'!$AE$39="Alta",'R. Seguridad de la Información'!$AG$39="Leve"),CONCATENATE("R6C",'R. Seguridad de la Información'!$U$39),"")</f>
        <v/>
      </c>
      <c r="K21" s="60" t="str">
        <f>IF(AND('R. Seguridad de la Información'!$AE$40="Alta",'R. Seguridad de la Información'!$AG$40="Leve"),CONCATENATE("R6C",'R. Seguridad de la Información'!$U$40),"")</f>
        <v/>
      </c>
      <c r="L21" s="60" t="str">
        <f>IF(AND('R. Seguridad de la Información'!$AE$41="Alta",'R. Seguridad de la Información'!$AG$41="Leve"),CONCATENATE("R6C",'R. Seguridad de la Información'!$U$41),"")</f>
        <v/>
      </c>
      <c r="M21" s="60" t="str">
        <f>IF(AND('R. Seguridad de la Información'!$AE$42="Alta",'R. Seguridad de la Información'!$AG$42="Leve"),CONCATENATE("R6C",'R. Seguridad de la Información'!$U$42),"")</f>
        <v/>
      </c>
      <c r="N21" s="60" t="str">
        <f>IF(AND('R. Seguridad de la Información'!$AE$43="Alta",'R. Seguridad de la Información'!$AG$43="Leve"),CONCATENATE("R6C",'R. Seguridad de la Información'!$U$43),"")</f>
        <v/>
      </c>
      <c r="O21" s="61" t="str">
        <f>IF(AND('R. Seguridad de la Información'!$AE$44="Alta",'R. Seguridad de la Información'!$AG$44="Leve"),CONCATENATE("R6C",'R. Seguridad de la Información'!$U$44),"")</f>
        <v/>
      </c>
      <c r="P21" s="59" t="str">
        <f>IF(AND('R. Seguridad de la Información'!$AE$39="Alta",'R. Seguridad de la Información'!$AG$39="Menor"),CONCATENATE("R6C",'R. Seguridad de la Información'!$U$39),"")</f>
        <v/>
      </c>
      <c r="Q21" s="60" t="str">
        <f>IF(AND('R. Seguridad de la Información'!$AE$40="Alta",'R. Seguridad de la Información'!$AG$40="Menor"),CONCATENATE("R6C",'R. Seguridad de la Información'!$U$40),"")</f>
        <v/>
      </c>
      <c r="R21" s="60" t="str">
        <f>IF(AND('R. Seguridad de la Información'!$AE$41="Alta",'R. Seguridad de la Información'!$AG$41="Menor"),CONCATENATE("R6C",'R. Seguridad de la Información'!$U$41),"")</f>
        <v/>
      </c>
      <c r="S21" s="60" t="str">
        <f>IF(AND('R. Seguridad de la Información'!$AE$42="Alta",'R. Seguridad de la Información'!$AG$42="Menor"),CONCATENATE("R6C",'R. Seguridad de la Información'!$U$42),"")</f>
        <v/>
      </c>
      <c r="T21" s="60" t="str">
        <f>IF(AND('R. Seguridad de la Información'!$AE$43="Alta",'R. Seguridad de la Información'!$AG$43="Menor"),CONCATENATE("R6C",'R. Seguridad de la Información'!$U$43),"")</f>
        <v/>
      </c>
      <c r="U21" s="61" t="str">
        <f>IF(AND('R. Seguridad de la Información'!$AE$44="Alta",'R. Seguridad de la Información'!$AG$44="Menor"),CONCATENATE("R6C",'R. Seguridad de la Información'!$U$44),"")</f>
        <v/>
      </c>
      <c r="V21" s="43" t="str">
        <f>IF(AND('R. Seguridad de la Información'!$AE$39="Alta",'R. Seguridad de la Información'!$AG$39="Moderado"),CONCATENATE("R6C",'R. Seguridad de la Información'!$U$39),"")</f>
        <v/>
      </c>
      <c r="W21" s="44" t="str">
        <f>IF(AND('R. Seguridad de la Información'!$AE$40="Alta",'R. Seguridad de la Información'!$AG$40="Moderado"),CONCATENATE("R6C",'R. Seguridad de la Información'!$U$40),"")</f>
        <v/>
      </c>
      <c r="X21" s="49" t="str">
        <f>IF(AND('R. Seguridad de la Información'!$AE$41="Alta",'R. Seguridad de la Información'!$AG$41="Moderado"),CONCATENATE("R6C",'R. Seguridad de la Información'!$U$41),"")</f>
        <v/>
      </c>
      <c r="Y21" s="49" t="str">
        <f>IF(AND('R. Seguridad de la Información'!$AE$42="Alta",'R. Seguridad de la Información'!$AG$42="Moderado"),CONCATENATE("R6C",'R. Seguridad de la Información'!$U$42),"")</f>
        <v/>
      </c>
      <c r="Z21" s="49" t="str">
        <f>IF(AND('R. Seguridad de la Información'!$AE$43="Alta",'R. Seguridad de la Información'!$AG$43="Moderado"),CONCATENATE("R6C",'R. Seguridad de la Información'!$U$43),"")</f>
        <v/>
      </c>
      <c r="AA21" s="45" t="str">
        <f>IF(AND('R. Seguridad de la Información'!$AE$44="Alta",'R. Seguridad de la Información'!$AG$44="Moderado"),CONCATENATE("R6C",'R. Seguridad de la Información'!$U$44),"")</f>
        <v/>
      </c>
      <c r="AB21" s="43" t="str">
        <f>IF(AND('R. Seguridad de la Información'!$AE$39="Alta",'R. Seguridad de la Información'!$AG$39="Mayor"),CONCATENATE("R6C",'R. Seguridad de la Información'!$U$39),"")</f>
        <v/>
      </c>
      <c r="AC21" s="44" t="str">
        <f>IF(AND('R. Seguridad de la Información'!$AE$40="Alta",'R. Seguridad de la Información'!$AG$40="Mayor"),CONCATENATE("R6C",'R. Seguridad de la Información'!$U$40),"")</f>
        <v/>
      </c>
      <c r="AD21" s="49" t="str">
        <f>IF(AND('R. Seguridad de la Información'!$AE$41="Alta",'R. Seguridad de la Información'!$AG$41="Mayor"),CONCATENATE("R6C",'R. Seguridad de la Información'!$U$41),"")</f>
        <v/>
      </c>
      <c r="AE21" s="49" t="str">
        <f>IF(AND('R. Seguridad de la Información'!$AE$42="Alta",'R. Seguridad de la Información'!$AG$42="Mayor"),CONCATENATE("R6C",'R. Seguridad de la Información'!$U$42),"")</f>
        <v/>
      </c>
      <c r="AF21" s="49" t="str">
        <f>IF(AND('R. Seguridad de la Información'!$AE$43="Alta",'R. Seguridad de la Información'!$AG$43="Mayor"),CONCATENATE("R6C",'R. Seguridad de la Información'!$U$43),"")</f>
        <v/>
      </c>
      <c r="AG21" s="45" t="str">
        <f>IF(AND('R. Seguridad de la Información'!$AE$44="Alta",'R. Seguridad de la Información'!$AG$44="Mayor"),CONCATENATE("R6C",'R. Seguridad de la Información'!$U$44),"")</f>
        <v/>
      </c>
      <c r="AH21" s="46" t="str">
        <f>IF(AND('R. Seguridad de la Información'!$AE$39="Alta",'R. Seguridad de la Información'!$AG$39="Catastrófico"),CONCATENATE("R6C",'R. Seguridad de la Información'!$U$39),"")</f>
        <v/>
      </c>
      <c r="AI21" s="47" t="str">
        <f>IF(AND('R. Seguridad de la Información'!$AE$40="Alta",'R. Seguridad de la Información'!$AG$40="Catastrófico"),CONCATENATE("R6C",'R. Seguridad de la Información'!$U$40),"")</f>
        <v/>
      </c>
      <c r="AJ21" s="47" t="str">
        <f>IF(AND('R. Seguridad de la Información'!$AE$41="Alta",'R. Seguridad de la Información'!$AG$41="Catastrófico"),CONCATENATE("R6C",'R. Seguridad de la Información'!$U$41),"")</f>
        <v/>
      </c>
      <c r="AK21" s="47" t="str">
        <f>IF(AND('R. Seguridad de la Información'!$AE$42="Alta",'R. Seguridad de la Información'!$AG$42="Catastrófico"),CONCATENATE("R6C",'R. Seguridad de la Información'!$U$42),"")</f>
        <v/>
      </c>
      <c r="AL21" s="47" t="str">
        <f>IF(AND('R. Seguridad de la Información'!$AE$43="Alta",'R. Seguridad de la Información'!$AG$43="Catastrófico"),CONCATENATE("R6C",'R. Seguridad de la Información'!$U$43),"")</f>
        <v/>
      </c>
      <c r="AM21" s="48" t="str">
        <f>IF(AND('R. Seguridad de la Información'!$AE$44="Alta",'R. Seguridad de la Información'!$AG$44="Catastrófico"),CONCATENATE("R6C",'R. Seguridad de la Información'!$U$44),"")</f>
        <v/>
      </c>
      <c r="AN21" s="75"/>
      <c r="AO21" s="614"/>
      <c r="AP21" s="615"/>
      <c r="AQ21" s="615"/>
      <c r="AR21" s="615"/>
      <c r="AS21" s="615"/>
      <c r="AT21" s="616"/>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523"/>
      <c r="C22" s="523"/>
      <c r="D22" s="524"/>
      <c r="E22" s="624"/>
      <c r="F22" s="625"/>
      <c r="G22" s="625"/>
      <c r="H22" s="625"/>
      <c r="I22" s="623"/>
      <c r="J22" s="59" t="str">
        <f>IF(AND('R. Seguridad de la Información'!$AE$45="Alta",'R. Seguridad de la Información'!$AG$45="Leve"),CONCATENATE("R7C",'R. Seguridad de la Información'!$U$45),"")</f>
        <v/>
      </c>
      <c r="K22" s="60" t="str">
        <f>IF(AND('R. Seguridad de la Información'!$AE$46="Alta",'R. Seguridad de la Información'!$AG$46="Leve"),CONCATENATE("R7C",'R. Seguridad de la Información'!$U$46),"")</f>
        <v/>
      </c>
      <c r="L22" s="60" t="str">
        <f>IF(AND('R. Seguridad de la Información'!$AE$47="Alta",'R. Seguridad de la Información'!$AG$47="Leve"),CONCATENATE("R7C",'R. Seguridad de la Información'!$U$47),"")</f>
        <v/>
      </c>
      <c r="M22" s="60" t="str">
        <f>IF(AND('R. Seguridad de la Información'!$AE$48="Alta",'R. Seguridad de la Información'!$AG$48="Leve"),CONCATENATE("R7C",'R. Seguridad de la Información'!$U$48),"")</f>
        <v/>
      </c>
      <c r="N22" s="60" t="str">
        <f>IF(AND('R. Seguridad de la Información'!$AE$49="Alta",'R. Seguridad de la Información'!$AG$49="Leve"),CONCATENATE("R7C",'R. Seguridad de la Información'!$U$49),"")</f>
        <v/>
      </c>
      <c r="O22" s="61" t="str">
        <f>IF(AND('R. Seguridad de la Información'!$AE$50="Alta",'R. Seguridad de la Información'!$AG$50="Leve"),CONCATENATE("R7C",'R. Seguridad de la Información'!$U$50),"")</f>
        <v/>
      </c>
      <c r="P22" s="59" t="str">
        <f>IF(AND('R. Seguridad de la Información'!$AE$45="Alta",'R. Seguridad de la Información'!$AG$45="Menor"),CONCATENATE("R7C",'R. Seguridad de la Información'!$U$45),"")</f>
        <v/>
      </c>
      <c r="Q22" s="60" t="str">
        <f>IF(AND('R. Seguridad de la Información'!$AE$46="Alta",'R. Seguridad de la Información'!$AG$46="Menor"),CONCATENATE("R7C",'R. Seguridad de la Información'!$U$46),"")</f>
        <v/>
      </c>
      <c r="R22" s="60" t="str">
        <f>IF(AND('R. Seguridad de la Información'!$AE$47="Alta",'R. Seguridad de la Información'!$AG$47="Menor"),CONCATENATE("R7C",'R. Seguridad de la Información'!$U$47),"")</f>
        <v/>
      </c>
      <c r="S22" s="60" t="str">
        <f>IF(AND('R. Seguridad de la Información'!$AE$48="Alta",'R. Seguridad de la Información'!$AG$48="Menor"),CONCATENATE("R7C",'R. Seguridad de la Información'!$U$48),"")</f>
        <v/>
      </c>
      <c r="T22" s="60" t="str">
        <f>IF(AND('R. Seguridad de la Información'!$AE$49="Alta",'R. Seguridad de la Información'!$AG$49="Menor"),CONCATENATE("R7C",'R. Seguridad de la Información'!$U$49),"")</f>
        <v/>
      </c>
      <c r="U22" s="61" t="str">
        <f>IF(AND('R. Seguridad de la Información'!$AE$50="Alta",'R. Seguridad de la Información'!$AG$50="Menor"),CONCATENATE("R7C",'R. Seguridad de la Información'!$U$50),"")</f>
        <v/>
      </c>
      <c r="V22" s="43" t="str">
        <f>IF(AND('R. Seguridad de la Información'!$AE$45="Alta",'R. Seguridad de la Información'!$AG$45="Moderado"),CONCATENATE("R7C",'R. Seguridad de la Información'!$U$45),"")</f>
        <v/>
      </c>
      <c r="W22" s="44" t="str">
        <f>IF(AND('R. Seguridad de la Información'!$AE$46="Alta",'R. Seguridad de la Información'!$AG$46="Moderado"),CONCATENATE("R7C",'R. Seguridad de la Información'!$U$46),"")</f>
        <v/>
      </c>
      <c r="X22" s="49" t="str">
        <f>IF(AND('R. Seguridad de la Información'!$AE$47="Alta",'R. Seguridad de la Información'!$AG$47="Moderado"),CONCATENATE("R7C",'R. Seguridad de la Información'!$U$47),"")</f>
        <v/>
      </c>
      <c r="Y22" s="49" t="str">
        <f>IF(AND('R. Seguridad de la Información'!$AE$48="Alta",'R. Seguridad de la Información'!$AG$48="Moderado"),CONCATENATE("R7C",'R. Seguridad de la Información'!$U$48),"")</f>
        <v/>
      </c>
      <c r="Z22" s="49" t="str">
        <f>IF(AND('R. Seguridad de la Información'!$AE$49="Alta",'R. Seguridad de la Información'!$AG$49="Moderado"),CONCATENATE("R7C",'R. Seguridad de la Información'!$U$49),"")</f>
        <v/>
      </c>
      <c r="AA22" s="45" t="str">
        <f>IF(AND('R. Seguridad de la Información'!$AE$50="Alta",'R. Seguridad de la Información'!$AG$50="Moderado"),CONCATENATE("R7C",'R. Seguridad de la Información'!$U$50),"")</f>
        <v/>
      </c>
      <c r="AB22" s="43" t="str">
        <f>IF(AND('R. Seguridad de la Información'!$AE$45="Alta",'R. Seguridad de la Información'!$AG$45="Mayor"),CONCATENATE("R7C",'R. Seguridad de la Información'!$U$45),"")</f>
        <v/>
      </c>
      <c r="AC22" s="44" t="str">
        <f>IF(AND('R. Seguridad de la Información'!$AE$46="Alta",'R. Seguridad de la Información'!$AG$46="Mayor"),CONCATENATE("R7C",'R. Seguridad de la Información'!$U$46),"")</f>
        <v/>
      </c>
      <c r="AD22" s="49" t="str">
        <f>IF(AND('R. Seguridad de la Información'!$AE$47="Alta",'R. Seguridad de la Información'!$AG$47="Mayor"),CONCATENATE("R7C",'R. Seguridad de la Información'!$U$47),"")</f>
        <v/>
      </c>
      <c r="AE22" s="49" t="str">
        <f>IF(AND('R. Seguridad de la Información'!$AE$48="Alta",'R. Seguridad de la Información'!$AG$48="Mayor"),CONCATENATE("R7C",'R. Seguridad de la Información'!$U$48),"")</f>
        <v/>
      </c>
      <c r="AF22" s="49" t="str">
        <f>IF(AND('R. Seguridad de la Información'!$AE$49="Alta",'R. Seguridad de la Información'!$AG$49="Mayor"),CONCATENATE("R7C",'R. Seguridad de la Información'!$U$49),"")</f>
        <v/>
      </c>
      <c r="AG22" s="45" t="str">
        <f>IF(AND('R. Seguridad de la Información'!$AE$50="Alta",'R. Seguridad de la Información'!$AG$50="Mayor"),CONCATENATE("R7C",'R. Seguridad de la Información'!$U$50),"")</f>
        <v/>
      </c>
      <c r="AH22" s="46" t="str">
        <f>IF(AND('R. Seguridad de la Información'!$AE$45="Alta",'R. Seguridad de la Información'!$AG$45="Catastrófico"),CONCATENATE("R7C",'R. Seguridad de la Información'!$U$45),"")</f>
        <v/>
      </c>
      <c r="AI22" s="47" t="str">
        <f>IF(AND('R. Seguridad de la Información'!$AE$46="Alta",'R. Seguridad de la Información'!$AG$46="Catastrófico"),CONCATENATE("R7C",'R. Seguridad de la Información'!$U$46),"")</f>
        <v/>
      </c>
      <c r="AJ22" s="47" t="str">
        <f>IF(AND('R. Seguridad de la Información'!$AE$47="Alta",'R. Seguridad de la Información'!$AG$47="Catastrófico"),CONCATENATE("R7C",'R. Seguridad de la Información'!$U$47),"")</f>
        <v/>
      </c>
      <c r="AK22" s="47" t="str">
        <f>IF(AND('R. Seguridad de la Información'!$AE$48="Alta",'R. Seguridad de la Información'!$AG$48="Catastrófico"),CONCATENATE("R7C",'R. Seguridad de la Información'!$U$48),"")</f>
        <v/>
      </c>
      <c r="AL22" s="47" t="str">
        <f>IF(AND('R. Seguridad de la Información'!$AE$49="Alta",'R. Seguridad de la Información'!$AG$49="Catastrófico"),CONCATENATE("R7C",'R. Seguridad de la Información'!$U$49),"")</f>
        <v/>
      </c>
      <c r="AM22" s="48" t="str">
        <f>IF(AND('R. Seguridad de la Información'!$AE$50="Alta",'R. Seguridad de la Información'!$AG$50="Catastrófico"),CONCATENATE("R7C",'R. Seguridad de la Información'!$U$50),"")</f>
        <v/>
      </c>
      <c r="AN22" s="75"/>
      <c r="AO22" s="614"/>
      <c r="AP22" s="615"/>
      <c r="AQ22" s="615"/>
      <c r="AR22" s="615"/>
      <c r="AS22" s="615"/>
      <c r="AT22" s="616"/>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523"/>
      <c r="C23" s="523"/>
      <c r="D23" s="524"/>
      <c r="E23" s="624"/>
      <c r="F23" s="625"/>
      <c r="G23" s="625"/>
      <c r="H23" s="625"/>
      <c r="I23" s="623"/>
      <c r="J23" s="59" t="str">
        <f>IF(AND('R. Seguridad de la Información'!$AE$51="Alta",'R. Seguridad de la Información'!$AG$51="Leve"),CONCATENATE("R8C",'R. Seguridad de la Información'!$U$51),"")</f>
        <v/>
      </c>
      <c r="K23" s="60" t="str">
        <f>IF(AND('R. Seguridad de la Información'!$AE$52="Alta",'R. Seguridad de la Información'!$AG$52="Leve"),CONCATENATE("R8C",'R. Seguridad de la Información'!$U$52),"")</f>
        <v/>
      </c>
      <c r="L23" s="60" t="str">
        <f>IF(AND('R. Seguridad de la Información'!$AE$53="Alta",'R. Seguridad de la Información'!$AG$53="Leve"),CONCATENATE("R8C",'R. Seguridad de la Información'!$U$53),"")</f>
        <v/>
      </c>
      <c r="M23" s="60" t="str">
        <f>IF(AND('R. Seguridad de la Información'!$AE$54="Alta",'R. Seguridad de la Información'!$AG$54="Leve"),CONCATENATE("R8C",'R. Seguridad de la Información'!$U$54),"")</f>
        <v/>
      </c>
      <c r="N23" s="60" t="str">
        <f>IF(AND('R. Seguridad de la Información'!$AE$55="Alta",'R. Seguridad de la Información'!$AG$55="Leve"),CONCATENATE("R8C",'R. Seguridad de la Información'!$U$55),"")</f>
        <v/>
      </c>
      <c r="O23" s="61" t="str">
        <f>IF(AND('R. Seguridad de la Información'!$AE$56="Alta",'R. Seguridad de la Información'!$AG$56="Leve"),CONCATENATE("R8C",'R. Seguridad de la Información'!$U$56),"")</f>
        <v/>
      </c>
      <c r="P23" s="59" t="str">
        <f>IF(AND('R. Seguridad de la Información'!$AE$51="Alta",'R. Seguridad de la Información'!$AG$51="Menor"),CONCATENATE("R8C",'R. Seguridad de la Información'!$U$51),"")</f>
        <v/>
      </c>
      <c r="Q23" s="60" t="str">
        <f>IF(AND('R. Seguridad de la Información'!$AE$52="Alta",'R. Seguridad de la Información'!$AG$52="Menor"),CONCATENATE("R8C",'R. Seguridad de la Información'!$U$52),"")</f>
        <v/>
      </c>
      <c r="R23" s="60" t="str">
        <f>IF(AND('R. Seguridad de la Información'!$AE$53="Alta",'R. Seguridad de la Información'!$AG$53="Menor"),CONCATENATE("R8C",'R. Seguridad de la Información'!$U$53),"")</f>
        <v/>
      </c>
      <c r="S23" s="60" t="str">
        <f>IF(AND('R. Seguridad de la Información'!$AE$54="Alta",'R. Seguridad de la Información'!$AG$54="Menor"),CONCATENATE("R8C",'R. Seguridad de la Información'!$U$54),"")</f>
        <v/>
      </c>
      <c r="T23" s="60" t="str">
        <f>IF(AND('R. Seguridad de la Información'!$AE$55="Alta",'R. Seguridad de la Información'!$AG$55="Menor"),CONCATENATE("R8C",'R. Seguridad de la Información'!$U$55),"")</f>
        <v/>
      </c>
      <c r="U23" s="61" t="str">
        <f>IF(AND('R. Seguridad de la Información'!$AE$56="Alta",'R. Seguridad de la Información'!$AG$56="Menor"),CONCATENATE("R8C",'R. Seguridad de la Información'!$U$56),"")</f>
        <v/>
      </c>
      <c r="V23" s="43" t="str">
        <f>IF(AND('R. Seguridad de la Información'!$AE$51="Alta",'R. Seguridad de la Información'!$AG$51="Moderado"),CONCATENATE("R8C",'R. Seguridad de la Información'!$U$51),"")</f>
        <v/>
      </c>
      <c r="W23" s="44" t="str">
        <f>IF(AND('R. Seguridad de la Información'!$AE$52="Alta",'R. Seguridad de la Información'!$AG$52="Moderado"),CONCATENATE("R8C",'R. Seguridad de la Información'!$U$52),"")</f>
        <v/>
      </c>
      <c r="X23" s="49" t="str">
        <f>IF(AND('R. Seguridad de la Información'!$AE$53="Alta",'R. Seguridad de la Información'!$AG$53="Moderado"),CONCATENATE("R8C",'R. Seguridad de la Información'!$U$53),"")</f>
        <v/>
      </c>
      <c r="Y23" s="49" t="str">
        <f>IF(AND('R. Seguridad de la Información'!$AE$54="Alta",'R. Seguridad de la Información'!$AG$54="Moderado"),CONCATENATE("R8C",'R. Seguridad de la Información'!$U$54),"")</f>
        <v/>
      </c>
      <c r="Z23" s="49" t="str">
        <f>IF(AND('R. Seguridad de la Información'!$AE$55="Alta",'R. Seguridad de la Información'!$AG$55="Moderado"),CONCATENATE("R8C",'R. Seguridad de la Información'!$U$55),"")</f>
        <v/>
      </c>
      <c r="AA23" s="45" t="str">
        <f>IF(AND('R. Seguridad de la Información'!$AE$56="Alta",'R. Seguridad de la Información'!$AG$56="Moderado"),CONCATENATE("R8C",'R. Seguridad de la Información'!$U$56),"")</f>
        <v/>
      </c>
      <c r="AB23" s="43" t="str">
        <f>IF(AND('R. Seguridad de la Información'!$AE$51="Alta",'R. Seguridad de la Información'!$AG$51="Mayor"),CONCATENATE("R8C",'R. Seguridad de la Información'!$U$51),"")</f>
        <v/>
      </c>
      <c r="AC23" s="44" t="str">
        <f>IF(AND('R. Seguridad de la Información'!$AE$52="Alta",'R. Seguridad de la Información'!$AG$52="Mayor"),CONCATENATE("R8C",'R. Seguridad de la Información'!$U$52),"")</f>
        <v/>
      </c>
      <c r="AD23" s="49" t="str">
        <f>IF(AND('R. Seguridad de la Información'!$AE$53="Alta",'R. Seguridad de la Información'!$AG$53="Mayor"),CONCATENATE("R8C",'R. Seguridad de la Información'!$U$53),"")</f>
        <v/>
      </c>
      <c r="AE23" s="49" t="str">
        <f>IF(AND('R. Seguridad de la Información'!$AE$54="Alta",'R. Seguridad de la Información'!$AG$54="Mayor"),CONCATENATE("R8C",'R. Seguridad de la Información'!$U$54),"")</f>
        <v/>
      </c>
      <c r="AF23" s="49" t="str">
        <f>IF(AND('R. Seguridad de la Información'!$AE$55="Alta",'R. Seguridad de la Información'!$AG$55="Mayor"),CONCATENATE("R8C",'R. Seguridad de la Información'!$U$55),"")</f>
        <v/>
      </c>
      <c r="AG23" s="45" t="str">
        <f>IF(AND('R. Seguridad de la Información'!$AE$56="Alta",'R. Seguridad de la Información'!$AG$56="Mayor"),CONCATENATE("R8C",'R. Seguridad de la Información'!$U$56),"")</f>
        <v/>
      </c>
      <c r="AH23" s="46" t="str">
        <f>IF(AND('R. Seguridad de la Información'!$AE$51="Alta",'R. Seguridad de la Información'!$AG$51="Catastrófico"),CONCATENATE("R8C",'R. Seguridad de la Información'!$U$51),"")</f>
        <v/>
      </c>
      <c r="AI23" s="47" t="str">
        <f>IF(AND('R. Seguridad de la Información'!$AE$52="Alta",'R. Seguridad de la Información'!$AG$52="Catastrófico"),CONCATENATE("R8C",'R. Seguridad de la Información'!$U$52),"")</f>
        <v/>
      </c>
      <c r="AJ23" s="47" t="str">
        <f>IF(AND('R. Seguridad de la Información'!$AE$53="Alta",'R. Seguridad de la Información'!$AG$53="Catastrófico"),CONCATENATE("R8C",'R. Seguridad de la Información'!$U$53),"")</f>
        <v/>
      </c>
      <c r="AK23" s="47" t="str">
        <f>IF(AND('R. Seguridad de la Información'!$AE$54="Alta",'R. Seguridad de la Información'!$AG$54="Catastrófico"),CONCATENATE("R8C",'R. Seguridad de la Información'!$U$54),"")</f>
        <v/>
      </c>
      <c r="AL23" s="47" t="str">
        <f>IF(AND('R. Seguridad de la Información'!$AE$55="Alta",'R. Seguridad de la Información'!$AG$55="Catastrófico"),CONCATENATE("R8C",'R. Seguridad de la Información'!$U$55),"")</f>
        <v/>
      </c>
      <c r="AM23" s="48" t="str">
        <f>IF(AND('R. Seguridad de la Información'!$AE$56="Alta",'R. Seguridad de la Información'!$AG$56="Catastrófico"),CONCATENATE("R8C",'R. Seguridad de la Información'!$U$56),"")</f>
        <v/>
      </c>
      <c r="AN23" s="75"/>
      <c r="AO23" s="614"/>
      <c r="AP23" s="615"/>
      <c r="AQ23" s="615"/>
      <c r="AR23" s="615"/>
      <c r="AS23" s="615"/>
      <c r="AT23" s="616"/>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523"/>
      <c r="C24" s="523"/>
      <c r="D24" s="524"/>
      <c r="E24" s="624"/>
      <c r="F24" s="625"/>
      <c r="G24" s="625"/>
      <c r="H24" s="625"/>
      <c r="I24" s="623"/>
      <c r="J24" s="59" t="str">
        <f>IF(AND('R. Seguridad de la Información'!$AE$57="Alta",'R. Seguridad de la Información'!$AG$57="Leve"),CONCATENATE("R9C",'R. Seguridad de la Información'!$U$57),"")</f>
        <v/>
      </c>
      <c r="K24" s="60" t="str">
        <f>IF(AND('R. Seguridad de la Información'!$AE$58="Alta",'R. Seguridad de la Información'!$AG$58="Leve"),CONCATENATE("R9C",'R. Seguridad de la Información'!$U$58),"")</f>
        <v/>
      </c>
      <c r="L24" s="60" t="str">
        <f>IF(AND('R. Seguridad de la Información'!$AE$59="Alta",'R. Seguridad de la Información'!$AG$59="Leve"),CONCATENATE("R9C",'R. Seguridad de la Información'!$U$59),"")</f>
        <v/>
      </c>
      <c r="M24" s="60" t="str">
        <f>IF(AND('R. Seguridad de la Información'!$AE$60="Alta",'R. Seguridad de la Información'!$AG$60="Leve"),CONCATENATE("R9C",'R. Seguridad de la Información'!$U$60),"")</f>
        <v/>
      </c>
      <c r="N24" s="60" t="str">
        <f>IF(AND('R. Seguridad de la Información'!$AE$61="Alta",'R. Seguridad de la Información'!$AG$61="Leve"),CONCATENATE("R9C",'R. Seguridad de la Información'!$U$61),"")</f>
        <v/>
      </c>
      <c r="O24" s="61" t="str">
        <f>IF(AND('R. Seguridad de la Información'!$AE$62="Alta",'R. Seguridad de la Información'!$AG$62="Leve"),CONCATENATE("R9C",'R. Seguridad de la Información'!$U$62),"")</f>
        <v/>
      </c>
      <c r="P24" s="59" t="str">
        <f>IF(AND('R. Seguridad de la Información'!$AE$57="Alta",'R. Seguridad de la Información'!$AG$57="Menor"),CONCATENATE("R9C",'R. Seguridad de la Información'!$U$57),"")</f>
        <v/>
      </c>
      <c r="Q24" s="60" t="str">
        <f>IF(AND('R. Seguridad de la Información'!$AE$58="Alta",'R. Seguridad de la Información'!$AG$58="Menor"),CONCATENATE("R9C",'R. Seguridad de la Información'!$U$58),"")</f>
        <v/>
      </c>
      <c r="R24" s="60" t="str">
        <f>IF(AND('R. Seguridad de la Información'!$AE$59="Alta",'R. Seguridad de la Información'!$AG$59="Menor"),CONCATENATE("R9C",'R. Seguridad de la Información'!$U$59),"")</f>
        <v/>
      </c>
      <c r="S24" s="60" t="str">
        <f>IF(AND('R. Seguridad de la Información'!$AE$60="Alta",'R. Seguridad de la Información'!$AG$60="Menor"),CONCATENATE("R9C",'R. Seguridad de la Información'!$U$60),"")</f>
        <v/>
      </c>
      <c r="T24" s="60" t="str">
        <f>IF(AND('R. Seguridad de la Información'!$AE$61="Alta",'R. Seguridad de la Información'!$AG$61="Menor"),CONCATENATE("R9C",'R. Seguridad de la Información'!$U$61),"")</f>
        <v/>
      </c>
      <c r="U24" s="61" t="str">
        <f>IF(AND('R. Seguridad de la Información'!$AE$62="Alta",'R. Seguridad de la Información'!$AG$62="Menor"),CONCATENATE("R9C",'R. Seguridad de la Información'!$U$62),"")</f>
        <v/>
      </c>
      <c r="V24" s="43" t="str">
        <f>IF(AND('R. Seguridad de la Información'!$AE$57="Alta",'R. Seguridad de la Información'!$AG$57="Moderado"),CONCATENATE("R9C",'R. Seguridad de la Información'!$U$57),"")</f>
        <v/>
      </c>
      <c r="W24" s="44" t="str">
        <f>IF(AND('R. Seguridad de la Información'!$AE$58="Alta",'R. Seguridad de la Información'!$AG$58="Moderado"),CONCATENATE("R9C",'R. Seguridad de la Información'!$U$58),"")</f>
        <v/>
      </c>
      <c r="X24" s="49" t="str">
        <f>IF(AND('R. Seguridad de la Información'!$AE$59="Alta",'R. Seguridad de la Información'!$AG$59="Moderado"),CONCATENATE("R9C",'R. Seguridad de la Información'!$U$59),"")</f>
        <v/>
      </c>
      <c r="Y24" s="49" t="str">
        <f>IF(AND('R. Seguridad de la Información'!$AE$60="Alta",'R. Seguridad de la Información'!$AG$60="Moderado"),CONCATENATE("R9C",'R. Seguridad de la Información'!$U$60),"")</f>
        <v/>
      </c>
      <c r="Z24" s="49" t="str">
        <f>IF(AND('R. Seguridad de la Información'!$AE$61="Alta",'R. Seguridad de la Información'!$AG$61="Moderado"),CONCATENATE("R9C",'R. Seguridad de la Información'!$U$61),"")</f>
        <v/>
      </c>
      <c r="AA24" s="45" t="str">
        <f>IF(AND('R. Seguridad de la Información'!$AE$62="Alta",'R. Seguridad de la Información'!$AG$62="Moderado"),CONCATENATE("R9C",'R. Seguridad de la Información'!$U$62),"")</f>
        <v/>
      </c>
      <c r="AB24" s="43" t="str">
        <f>IF(AND('R. Seguridad de la Información'!$AE$57="Alta",'R. Seguridad de la Información'!$AG$57="Mayor"),CONCATENATE("R9C",'R. Seguridad de la Información'!$U$57),"")</f>
        <v/>
      </c>
      <c r="AC24" s="44" t="str">
        <f>IF(AND('R. Seguridad de la Información'!$AE$58="Alta",'R. Seguridad de la Información'!$AG$58="Mayor"),CONCATENATE("R9C",'R. Seguridad de la Información'!$U$58),"")</f>
        <v/>
      </c>
      <c r="AD24" s="49" t="str">
        <f>IF(AND('R. Seguridad de la Información'!$AE$59="Alta",'R. Seguridad de la Información'!$AG$59="Mayor"),CONCATENATE("R9C",'R. Seguridad de la Información'!$U$59),"")</f>
        <v/>
      </c>
      <c r="AE24" s="49" t="str">
        <f>IF(AND('R. Seguridad de la Información'!$AE$60="Alta",'R. Seguridad de la Información'!$AG$60="Mayor"),CONCATENATE("R9C",'R. Seguridad de la Información'!$U$60),"")</f>
        <v/>
      </c>
      <c r="AF24" s="49" t="str">
        <f>IF(AND('R. Seguridad de la Información'!$AE$61="Alta",'R. Seguridad de la Información'!$AG$61="Mayor"),CONCATENATE("R9C",'R. Seguridad de la Información'!$U$61),"")</f>
        <v/>
      </c>
      <c r="AG24" s="45" t="str">
        <f>IF(AND('R. Seguridad de la Información'!$AE$62="Alta",'R. Seguridad de la Información'!$AG$62="Mayor"),CONCATENATE("R9C",'R. Seguridad de la Información'!$U$62),"")</f>
        <v/>
      </c>
      <c r="AH24" s="46" t="str">
        <f>IF(AND('R. Seguridad de la Información'!$AE$57="Alta",'R. Seguridad de la Información'!$AG$57="Catastrófico"),CONCATENATE("R9C",'R. Seguridad de la Información'!$U$57),"")</f>
        <v/>
      </c>
      <c r="AI24" s="47" t="str">
        <f>IF(AND('R. Seguridad de la Información'!$AE$58="Alta",'R. Seguridad de la Información'!$AG$58="Catastrófico"),CONCATENATE("R9C",'R. Seguridad de la Información'!$U$58),"")</f>
        <v/>
      </c>
      <c r="AJ24" s="47" t="str">
        <f>IF(AND('R. Seguridad de la Información'!$AE$59="Alta",'R. Seguridad de la Información'!$AG$59="Catastrófico"),CONCATENATE("R9C",'R. Seguridad de la Información'!$U$59),"")</f>
        <v/>
      </c>
      <c r="AK24" s="47" t="str">
        <f>IF(AND('R. Seguridad de la Información'!$AE$60="Alta",'R. Seguridad de la Información'!$AG$60="Catastrófico"),CONCATENATE("R9C",'R. Seguridad de la Información'!$U$60),"")</f>
        <v/>
      </c>
      <c r="AL24" s="47" t="str">
        <f>IF(AND('R. Seguridad de la Información'!$AE$61="Alta",'R. Seguridad de la Información'!$AG$61="Catastrófico"),CONCATENATE("R9C",'R. Seguridad de la Información'!$U$61),"")</f>
        <v/>
      </c>
      <c r="AM24" s="48" t="str">
        <f>IF(AND('R. Seguridad de la Información'!$AE$62="Alta",'R. Seguridad de la Información'!$AG$62="Catastrófico"),CONCATENATE("R9C",'R. Seguridad de la Información'!$U$62),"")</f>
        <v/>
      </c>
      <c r="AN24" s="75"/>
      <c r="AO24" s="614"/>
      <c r="AP24" s="615"/>
      <c r="AQ24" s="615"/>
      <c r="AR24" s="615"/>
      <c r="AS24" s="615"/>
      <c r="AT24" s="616"/>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523"/>
      <c r="C25" s="523"/>
      <c r="D25" s="524"/>
      <c r="E25" s="626"/>
      <c r="F25" s="627"/>
      <c r="G25" s="627"/>
      <c r="H25" s="627"/>
      <c r="I25" s="627"/>
      <c r="J25" s="62" t="str">
        <f>IF(AND('R. Seguridad de la Información'!$AE$63="Alta",'R. Seguridad de la Información'!$AG$63="Leve"),CONCATENATE("R10C",'R. Seguridad de la Información'!$U$63),"")</f>
        <v/>
      </c>
      <c r="K25" s="63" t="str">
        <f>IF(AND('R. Seguridad de la Información'!$AE$64="Alta",'R. Seguridad de la Información'!$AG$64="Leve"),CONCATENATE("R10C",'R. Seguridad de la Información'!$U$64),"")</f>
        <v/>
      </c>
      <c r="L25" s="63" t="str">
        <f>IF(AND('R. Seguridad de la Información'!$AE$65="Alta",'R. Seguridad de la Información'!$AG$65="Leve"),CONCATENATE("R10C",'R. Seguridad de la Información'!$U$65),"")</f>
        <v/>
      </c>
      <c r="M25" s="63" t="str">
        <f>IF(AND('R. Seguridad de la Información'!$AE$66="Alta",'R. Seguridad de la Información'!$AG$66="Leve"),CONCATENATE("R10C",'R. Seguridad de la Información'!$U$66),"")</f>
        <v/>
      </c>
      <c r="N25" s="63" t="str">
        <f>IF(AND('R. Seguridad de la Información'!$AE$67="Alta",'R. Seguridad de la Información'!$AG$67="Leve"),CONCATENATE("R10C",'R. Seguridad de la Información'!$U$67),"")</f>
        <v/>
      </c>
      <c r="O25" s="64" t="str">
        <f>IF(AND('R. Seguridad de la Información'!$AE$68="Alta",'R. Seguridad de la Información'!$AG$68="Leve"),CONCATENATE("R10C",'R. Seguridad de la Información'!$U$68),"")</f>
        <v/>
      </c>
      <c r="P25" s="62" t="str">
        <f>IF(AND('R. Seguridad de la Información'!$AE$63="Alta",'R. Seguridad de la Información'!$AG$63="Menor"),CONCATENATE("R10C",'R. Seguridad de la Información'!$U$63),"")</f>
        <v/>
      </c>
      <c r="Q25" s="63" t="str">
        <f>IF(AND('R. Seguridad de la Información'!$AE$64="Alta",'R. Seguridad de la Información'!$AG$64="Menor"),CONCATENATE("R10C",'R. Seguridad de la Información'!$U$64),"")</f>
        <v/>
      </c>
      <c r="R25" s="63" t="str">
        <f>IF(AND('R. Seguridad de la Información'!$AE$65="Alta",'R. Seguridad de la Información'!$AG$65="Menor"),CONCATENATE("R10C",'R. Seguridad de la Información'!$U$65),"")</f>
        <v/>
      </c>
      <c r="S25" s="63" t="str">
        <f>IF(AND('R. Seguridad de la Información'!$AE$66="Alta",'R. Seguridad de la Información'!$AG$66="Menor"),CONCATENATE("R10C",'R. Seguridad de la Información'!$U$66),"")</f>
        <v/>
      </c>
      <c r="T25" s="63" t="str">
        <f>IF(AND('R. Seguridad de la Información'!$AE$67="Alta",'R. Seguridad de la Información'!$AG$67="Menor"),CONCATENATE("R10C",'R. Seguridad de la Información'!$U$67),"")</f>
        <v/>
      </c>
      <c r="U25" s="64" t="str">
        <f>IF(AND('R. Seguridad de la Información'!$AE$68="Alta",'R. Seguridad de la Información'!$AG$68="Menor"),CONCATENATE("R10C",'R. Seguridad de la Información'!$U$68),"")</f>
        <v/>
      </c>
      <c r="V25" s="50" t="str">
        <f>IF(AND('R. Seguridad de la Información'!$AE$63="Alta",'R. Seguridad de la Información'!$AG$63="Moderado"),CONCATENATE("R10C",'R. Seguridad de la Información'!$U$63),"")</f>
        <v/>
      </c>
      <c r="W25" s="51" t="str">
        <f>IF(AND('R. Seguridad de la Información'!$AE$64="Alta",'R. Seguridad de la Información'!$AG$64="Moderado"),CONCATENATE("R10C",'R. Seguridad de la Información'!$U$64),"")</f>
        <v/>
      </c>
      <c r="X25" s="51" t="str">
        <f>IF(AND('R. Seguridad de la Información'!$AE$65="Alta",'R. Seguridad de la Información'!$AG$65="Moderado"),CONCATENATE("R10C",'R. Seguridad de la Información'!$U$65),"")</f>
        <v/>
      </c>
      <c r="Y25" s="51" t="str">
        <f>IF(AND('R. Seguridad de la Información'!$AE$66="Alta",'R. Seguridad de la Información'!$AG$66="Moderado"),CONCATENATE("R10C",'R. Seguridad de la Información'!$U$66),"")</f>
        <v/>
      </c>
      <c r="Z25" s="51" t="str">
        <f>IF(AND('R. Seguridad de la Información'!$AE$67="Alta",'R. Seguridad de la Información'!$AG$67="Moderado"),CONCATENATE("R10C",'R. Seguridad de la Información'!$U$67),"")</f>
        <v/>
      </c>
      <c r="AA25" s="52" t="str">
        <f>IF(AND('R. Seguridad de la Información'!$AE$68="Alta",'R. Seguridad de la Información'!$AG$68="Moderado"),CONCATENATE("R10C",'R. Seguridad de la Información'!$U$68),"")</f>
        <v/>
      </c>
      <c r="AB25" s="50" t="str">
        <f>IF(AND('R. Seguridad de la Información'!$AE$63="Alta",'R. Seguridad de la Información'!$AG$63="Mayor"),CONCATENATE("R10C",'R. Seguridad de la Información'!$U$63),"")</f>
        <v/>
      </c>
      <c r="AC25" s="51" t="str">
        <f>IF(AND('R. Seguridad de la Información'!$AE$64="Alta",'R. Seguridad de la Información'!$AG$64="Mayor"),CONCATENATE("R10C",'R. Seguridad de la Información'!$U$64),"")</f>
        <v/>
      </c>
      <c r="AD25" s="51" t="str">
        <f>IF(AND('R. Seguridad de la Información'!$AE$65="Alta",'R. Seguridad de la Información'!$AG$65="Mayor"),CONCATENATE("R10C",'R. Seguridad de la Información'!$U$65),"")</f>
        <v/>
      </c>
      <c r="AE25" s="51" t="str">
        <f>IF(AND('R. Seguridad de la Información'!$AE$66="Alta",'R. Seguridad de la Información'!$AG$66="Mayor"),CONCATENATE("R10C",'R. Seguridad de la Información'!$U$66),"")</f>
        <v/>
      </c>
      <c r="AF25" s="51" t="str">
        <f>IF(AND('R. Seguridad de la Información'!$AE$67="Alta",'R. Seguridad de la Información'!$AG$67="Mayor"),CONCATENATE("R10C",'R. Seguridad de la Información'!$U$67),"")</f>
        <v/>
      </c>
      <c r="AG25" s="52" t="str">
        <f>IF(AND('R. Seguridad de la Información'!$AE$68="Alta",'R. Seguridad de la Información'!$AG$68="Mayor"),CONCATENATE("R10C",'R. Seguridad de la Información'!$U$68),"")</f>
        <v/>
      </c>
      <c r="AH25" s="53" t="str">
        <f>IF(AND('R. Seguridad de la Información'!$AE$63="Alta",'R. Seguridad de la Información'!$AG$63="Catastrófico"),CONCATENATE("R10C",'R. Seguridad de la Información'!$U$63),"")</f>
        <v/>
      </c>
      <c r="AI25" s="54" t="str">
        <f>IF(AND('R. Seguridad de la Información'!$AE$64="Alta",'R. Seguridad de la Información'!$AG$64="Catastrófico"),CONCATENATE("R10C",'R. Seguridad de la Información'!$U$64),"")</f>
        <v/>
      </c>
      <c r="AJ25" s="54" t="str">
        <f>IF(AND('R. Seguridad de la Información'!$AE$65="Alta",'R. Seguridad de la Información'!$AG$65="Catastrófico"),CONCATENATE("R10C",'R. Seguridad de la Información'!$U$65),"")</f>
        <v/>
      </c>
      <c r="AK25" s="54" t="str">
        <f>IF(AND('R. Seguridad de la Información'!$AE$66="Alta",'R. Seguridad de la Información'!$AG$66="Catastrófico"),CONCATENATE("R10C",'R. Seguridad de la Información'!$U$66),"")</f>
        <v/>
      </c>
      <c r="AL25" s="54" t="str">
        <f>IF(AND('R. Seguridad de la Información'!$AE$67="Alta",'R. Seguridad de la Información'!$AG$67="Catastrófico"),CONCATENATE("R10C",'R. Seguridad de la Información'!$U$67),"")</f>
        <v/>
      </c>
      <c r="AM25" s="55" t="str">
        <f>IF(AND('R. Seguridad de la Información'!$AE$68="Alta",'R. Seguridad de la Información'!$AG$68="Catastrófico"),CONCATENATE("R10C",'R. Seguridad de la Información'!$U$68),"")</f>
        <v/>
      </c>
      <c r="AN25" s="75"/>
      <c r="AO25" s="617"/>
      <c r="AP25" s="618"/>
      <c r="AQ25" s="618"/>
      <c r="AR25" s="618"/>
      <c r="AS25" s="618"/>
      <c r="AT25" s="619"/>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523"/>
      <c r="C26" s="523"/>
      <c r="D26" s="524"/>
      <c r="E26" s="620" t="s">
        <v>106</v>
      </c>
      <c r="F26" s="621"/>
      <c r="G26" s="621"/>
      <c r="H26" s="621"/>
      <c r="I26" s="639"/>
      <c r="J26" s="56" t="str">
        <f>IF(AND('R. Seguridad de la Información'!$AE$9="Media",'R. Seguridad de la Información'!$AG$9="Leve"),CONCATENATE("R1C",'R. Seguridad de la Información'!$U$9),"")</f>
        <v/>
      </c>
      <c r="K26" s="57" t="str">
        <f>IF(AND('R. Seguridad de la Información'!$AE$10="Media",'R. Seguridad de la Información'!$AG$10="Leve"),CONCATENATE("R1C",'R. Seguridad de la Información'!$U$10),"")</f>
        <v/>
      </c>
      <c r="L26" s="57" t="str">
        <f>IF(AND('R. Seguridad de la Información'!$AE$11="Media",'R. Seguridad de la Información'!$AG$11="Leve"),CONCATENATE("R1C",'R. Seguridad de la Información'!$U$11),"")</f>
        <v/>
      </c>
      <c r="M26" s="57" t="str">
        <f>IF(AND('R. Seguridad de la Información'!$AE$12="Media",'R. Seguridad de la Información'!$AG$12="Leve"),CONCATENATE("R1C",'R. Seguridad de la Información'!$U$12),"")</f>
        <v/>
      </c>
      <c r="N26" s="57" t="str">
        <f>IF(AND('R. Seguridad de la Información'!$AE$13="Media",'R. Seguridad de la Información'!$AG$13="Leve"),CONCATENATE("R1C",'R. Seguridad de la Información'!$U$13),"")</f>
        <v/>
      </c>
      <c r="O26" s="58" t="str">
        <f>IF(AND('R. Seguridad de la Información'!$AE$14="Media",'R. Seguridad de la Información'!$AG$14="Leve"),CONCATENATE("R1C",'R. Seguridad de la Información'!$U$14),"")</f>
        <v/>
      </c>
      <c r="P26" s="56" t="str">
        <f>IF(AND('R. Seguridad de la Información'!$AE$9="Media",'R. Seguridad de la Información'!$AG$9="Menor"),CONCATENATE("R1C",'R. Seguridad de la Información'!$U$9),"")</f>
        <v/>
      </c>
      <c r="Q26" s="57" t="str">
        <f>IF(AND('R. Seguridad de la Información'!$AE$10="Media",'R. Seguridad de la Información'!$AG$10="Menor"),CONCATENATE("R1C",'R. Seguridad de la Información'!$U$10),"")</f>
        <v/>
      </c>
      <c r="R26" s="57" t="str">
        <f>IF(AND('R. Seguridad de la Información'!$AE$11="Media",'R. Seguridad de la Información'!$AG$11="Menor"),CONCATENATE("R1C",'R. Seguridad de la Información'!$U$11),"")</f>
        <v/>
      </c>
      <c r="S26" s="57" t="str">
        <f>IF(AND('R. Seguridad de la Información'!$AE$12="Media",'R. Seguridad de la Información'!$AG$12="Menor"),CONCATENATE("R1C",'R. Seguridad de la Información'!$U$12),"")</f>
        <v/>
      </c>
      <c r="T26" s="57" t="str">
        <f>IF(AND('R. Seguridad de la Información'!$AE$13="Media",'R. Seguridad de la Información'!$AG$13="Menor"),CONCATENATE("R1C",'R. Seguridad de la Información'!$U$13),"")</f>
        <v/>
      </c>
      <c r="U26" s="58" t="str">
        <f>IF(AND('R. Seguridad de la Información'!$AE$14="Media",'R. Seguridad de la Información'!$AG$14="Menor"),CONCATENATE("R1C",'R. Seguridad de la Información'!$U$14),"")</f>
        <v/>
      </c>
      <c r="V26" s="56" t="str">
        <f>IF(AND('R. Seguridad de la Información'!$AE$9="Media",'R. Seguridad de la Información'!$AG$9="Moderado"),CONCATENATE("R1C",'R. Seguridad de la Información'!$U$9),"")</f>
        <v/>
      </c>
      <c r="W26" s="57" t="str">
        <f>IF(AND('R. Seguridad de la Información'!$AE$10="Media",'R. Seguridad de la Información'!$AG$10="Moderado"),CONCATENATE("R1C",'R. Seguridad de la Información'!$U$10),"")</f>
        <v/>
      </c>
      <c r="X26" s="57" t="str">
        <f>IF(AND('R. Seguridad de la Información'!$AE$11="Media",'R. Seguridad de la Información'!$AG$11="Moderado"),CONCATENATE("R1C",'R. Seguridad de la Información'!$U$11),"")</f>
        <v/>
      </c>
      <c r="Y26" s="57" t="str">
        <f>IF(AND('R. Seguridad de la Información'!$AE$12="Media",'R. Seguridad de la Información'!$AG$12="Moderado"),CONCATENATE("R1C",'R. Seguridad de la Información'!$U$12),"")</f>
        <v/>
      </c>
      <c r="Z26" s="57" t="str">
        <f>IF(AND('R. Seguridad de la Información'!$AE$13="Media",'R. Seguridad de la Información'!$AG$13="Moderado"),CONCATENATE("R1C",'R. Seguridad de la Información'!$U$13),"")</f>
        <v/>
      </c>
      <c r="AA26" s="58" t="str">
        <f>IF(AND('R. Seguridad de la Información'!$AE$14="Media",'R. Seguridad de la Información'!$AG$14="Moderado"),CONCATENATE("R1C",'R. Seguridad de la Información'!$U$14),"")</f>
        <v/>
      </c>
      <c r="AB26" s="37" t="str">
        <f>IF(AND('R. Seguridad de la Información'!$AE$9="Media",'R. Seguridad de la Información'!$AG$9="Mayor"),CONCATENATE("R1C",'R. Seguridad de la Información'!$U$9),"")</f>
        <v/>
      </c>
      <c r="AC26" s="38" t="str">
        <f>IF(AND('R. Seguridad de la Información'!$AE$10="Media",'R. Seguridad de la Información'!$AG$10="Mayor"),CONCATENATE("R1C",'R. Seguridad de la Información'!$U$10),"")</f>
        <v/>
      </c>
      <c r="AD26" s="38" t="str">
        <f>IF(AND('R. Seguridad de la Información'!$AE$11="Media",'R. Seguridad de la Información'!$AG$11="Mayor"),CONCATENATE("R1C",'R. Seguridad de la Información'!$U$11),"")</f>
        <v/>
      </c>
      <c r="AE26" s="38" t="str">
        <f>IF(AND('R. Seguridad de la Información'!$AE$12="Media",'R. Seguridad de la Información'!$AG$12="Mayor"),CONCATENATE("R1C",'R. Seguridad de la Información'!$U$12),"")</f>
        <v/>
      </c>
      <c r="AF26" s="38" t="str">
        <f>IF(AND('R. Seguridad de la Información'!$AE$13="Media",'R. Seguridad de la Información'!$AG$13="Mayor"),CONCATENATE("R1C",'R. Seguridad de la Información'!$U$13),"")</f>
        <v/>
      </c>
      <c r="AG26" s="39" t="str">
        <f>IF(AND('R. Seguridad de la Información'!$AE$14="Media",'R. Seguridad de la Información'!$AG$14="Mayor"),CONCATENATE("R1C",'R. Seguridad de la Información'!$U$14),"")</f>
        <v/>
      </c>
      <c r="AH26" s="40" t="str">
        <f>IF(AND('R. Seguridad de la Información'!$AE$9="Media",'R. Seguridad de la Información'!$AG$9="Catastrófico"),CONCATENATE("R1C",'R. Seguridad de la Información'!$U$9),"")</f>
        <v/>
      </c>
      <c r="AI26" s="41" t="str">
        <f>IF(AND('R. Seguridad de la Información'!$AE$10="Media",'R. Seguridad de la Información'!$AG$10="Catastrófico"),CONCATENATE("R1C",'R. Seguridad de la Información'!$U$10),"")</f>
        <v/>
      </c>
      <c r="AJ26" s="41" t="str">
        <f>IF(AND('R. Seguridad de la Información'!$AE$11="Media",'R. Seguridad de la Información'!$AG$11="Catastrófico"),CONCATENATE("R1C",'R. Seguridad de la Información'!$U$11),"")</f>
        <v/>
      </c>
      <c r="AK26" s="41" t="str">
        <f>IF(AND('R. Seguridad de la Información'!$AE$12="Media",'R. Seguridad de la Información'!$AG$12="Catastrófico"),CONCATENATE("R1C",'R. Seguridad de la Información'!$U$12),"")</f>
        <v/>
      </c>
      <c r="AL26" s="41" t="str">
        <f>IF(AND('R. Seguridad de la Información'!$AE$13="Media",'R. Seguridad de la Información'!$AG$13="Catastrófico"),CONCATENATE("R1C",'R. Seguridad de la Información'!$U$13),"")</f>
        <v/>
      </c>
      <c r="AM26" s="42" t="str">
        <f>IF(AND('R. Seguridad de la Información'!$AE$14="Media",'R. Seguridad de la Información'!$AG$14="Catastrófico"),CONCATENATE("R1C",'R. Seguridad de la Información'!$U$14),"")</f>
        <v/>
      </c>
      <c r="AN26" s="75"/>
      <c r="AO26" s="651" t="s">
        <v>71</v>
      </c>
      <c r="AP26" s="652"/>
      <c r="AQ26" s="652"/>
      <c r="AR26" s="652"/>
      <c r="AS26" s="652"/>
      <c r="AT26" s="653"/>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523"/>
      <c r="C27" s="523"/>
      <c r="D27" s="524"/>
      <c r="E27" s="622"/>
      <c r="F27" s="623"/>
      <c r="G27" s="623"/>
      <c r="H27" s="623"/>
      <c r="I27" s="640"/>
      <c r="J27" s="59" t="str">
        <f>IF(AND('R. Seguridad de la Información'!$AE$15="Media",'R. Seguridad de la Información'!$AG$15="Leve"),CONCATENATE("R2C",'R. Seguridad de la Información'!$U$15),"")</f>
        <v/>
      </c>
      <c r="K27" s="60" t="str">
        <f>IF(AND('R. Seguridad de la Información'!$AE$16="Media",'R. Seguridad de la Información'!$AG$16="Leve"),CONCATENATE("R2C",'R. Seguridad de la Información'!$U$16),"")</f>
        <v/>
      </c>
      <c r="L27" s="60" t="str">
        <f>IF(AND('R. Seguridad de la Información'!$AE$17="Media",'R. Seguridad de la Información'!$AG$17="Leve"),CONCATENATE("R2C",'R. Seguridad de la Información'!$U$17),"")</f>
        <v/>
      </c>
      <c r="M27" s="60" t="str">
        <f>IF(AND('R. Seguridad de la Información'!$AE$18="Media",'R. Seguridad de la Información'!$AG$18="Leve"),CONCATENATE("R2C",'R. Seguridad de la Información'!$U$18),"")</f>
        <v/>
      </c>
      <c r="N27" s="60" t="str">
        <f>IF(AND('R. Seguridad de la Información'!$AE$19="Media",'R. Seguridad de la Información'!$AG$19="Leve"),CONCATENATE("R2C",'R. Seguridad de la Información'!$U$19),"")</f>
        <v/>
      </c>
      <c r="O27" s="61" t="str">
        <f>IF(AND('R. Seguridad de la Información'!$AE$20="Media",'R. Seguridad de la Información'!$AG$20="Leve"),CONCATENATE("R2C",'R. Seguridad de la Información'!$U$20),"")</f>
        <v/>
      </c>
      <c r="P27" s="59" t="str">
        <f>IF(AND('R. Seguridad de la Información'!$AE$15="Media",'R. Seguridad de la Información'!$AG$15="Menor"),CONCATENATE("R2C",'R. Seguridad de la Información'!$U$15),"")</f>
        <v/>
      </c>
      <c r="Q27" s="60" t="str">
        <f>IF(AND('R. Seguridad de la Información'!$AE$16="Media",'R. Seguridad de la Información'!$AG$16="Menor"),CONCATENATE("R2C",'R. Seguridad de la Información'!$U$16),"")</f>
        <v/>
      </c>
      <c r="R27" s="60" t="str">
        <f>IF(AND('R. Seguridad de la Información'!$AE$17="Media",'R. Seguridad de la Información'!$AG$17="Menor"),CONCATENATE("R2C",'R. Seguridad de la Información'!$U$17),"")</f>
        <v/>
      </c>
      <c r="S27" s="60" t="str">
        <f>IF(AND('R. Seguridad de la Información'!$AE$18="Media",'R. Seguridad de la Información'!$AG$18="Menor"),CONCATENATE("R2C",'R. Seguridad de la Información'!$U$18),"")</f>
        <v/>
      </c>
      <c r="T27" s="60" t="str">
        <f>IF(AND('R. Seguridad de la Información'!$AE$19="Media",'R. Seguridad de la Información'!$AG$19="Menor"),CONCATENATE("R2C",'R. Seguridad de la Información'!$U$19),"")</f>
        <v/>
      </c>
      <c r="U27" s="61" t="str">
        <f>IF(AND('R. Seguridad de la Información'!$AE$20="Media",'R. Seguridad de la Información'!$AG$20="Menor"),CONCATENATE("R2C",'R. Seguridad de la Información'!$U$20),"")</f>
        <v/>
      </c>
      <c r="V27" s="59" t="str">
        <f>IF(AND('R. Seguridad de la Información'!$AE$15="Media",'R. Seguridad de la Información'!$AG$15="Moderado"),CONCATENATE("R2C",'R. Seguridad de la Información'!$U$15),"")</f>
        <v/>
      </c>
      <c r="W27" s="60" t="str">
        <f>IF(AND('R. Seguridad de la Información'!$AE$16="Media",'R. Seguridad de la Información'!$AG$16="Moderado"),CONCATENATE("R2C",'R. Seguridad de la Información'!$U$16),"")</f>
        <v/>
      </c>
      <c r="X27" s="60" t="str">
        <f>IF(AND('R. Seguridad de la Información'!$AE$17="Media",'R. Seguridad de la Información'!$AG$17="Moderado"),CONCATENATE("R2C",'R. Seguridad de la Información'!$U$17),"")</f>
        <v/>
      </c>
      <c r="Y27" s="60" t="str">
        <f>IF(AND('R. Seguridad de la Información'!$AE$18="Media",'R. Seguridad de la Información'!$AG$18="Moderado"),CONCATENATE("R2C",'R. Seguridad de la Información'!$U$18),"")</f>
        <v/>
      </c>
      <c r="Z27" s="60" t="str">
        <f>IF(AND('R. Seguridad de la Información'!$AE$19="Media",'R. Seguridad de la Información'!$AG$19="Moderado"),CONCATENATE("R2C",'R. Seguridad de la Información'!$U$19),"")</f>
        <v/>
      </c>
      <c r="AA27" s="61" t="str">
        <f>IF(AND('R. Seguridad de la Información'!$AE$20="Media",'R. Seguridad de la Información'!$AG$20="Moderado"),CONCATENATE("R2C",'R. Seguridad de la Información'!$U$20),"")</f>
        <v/>
      </c>
      <c r="AB27" s="43" t="str">
        <f>IF(AND('R. Seguridad de la Información'!$AE$15="Media",'R. Seguridad de la Información'!$AG$15="Mayor"),CONCATENATE("R2C",'R. Seguridad de la Información'!$U$15),"")</f>
        <v/>
      </c>
      <c r="AC27" s="44" t="str">
        <f>IF(AND('R. Seguridad de la Información'!$AE$16="Media",'R. Seguridad de la Información'!$AG$16="Mayor"),CONCATENATE("R2C",'R. Seguridad de la Información'!$U$16),"")</f>
        <v/>
      </c>
      <c r="AD27" s="44" t="str">
        <f>IF(AND('R. Seguridad de la Información'!$AE$17="Media",'R. Seguridad de la Información'!$AG$17="Mayor"),CONCATENATE("R2C",'R. Seguridad de la Información'!$U$17),"")</f>
        <v/>
      </c>
      <c r="AE27" s="44" t="str">
        <f>IF(AND('R. Seguridad de la Información'!$AE$18="Media",'R. Seguridad de la Información'!$AG$18="Mayor"),CONCATENATE("R2C",'R. Seguridad de la Información'!$U$18),"")</f>
        <v/>
      </c>
      <c r="AF27" s="44" t="str">
        <f>IF(AND('R. Seguridad de la Información'!$AE$19="Media",'R. Seguridad de la Información'!$AG$19="Mayor"),CONCATENATE("R2C",'R. Seguridad de la Información'!$U$19),"")</f>
        <v/>
      </c>
      <c r="AG27" s="45" t="str">
        <f>IF(AND('R. Seguridad de la Información'!$AE$20="Media",'R. Seguridad de la Información'!$AG$20="Mayor"),CONCATENATE("R2C",'R. Seguridad de la Información'!$U$20),"")</f>
        <v/>
      </c>
      <c r="AH27" s="46" t="str">
        <f>IF(AND('R. Seguridad de la Información'!$AE$15="Media",'R. Seguridad de la Información'!$AG$15="Catastrófico"),CONCATENATE("R2C",'R. Seguridad de la Información'!$U$15),"")</f>
        <v/>
      </c>
      <c r="AI27" s="47" t="str">
        <f>IF(AND('R. Seguridad de la Información'!$AE$16="Media",'R. Seguridad de la Información'!$AG$16="Catastrófico"),CONCATENATE("R2C",'R. Seguridad de la Información'!$U$16),"")</f>
        <v/>
      </c>
      <c r="AJ27" s="47" t="str">
        <f>IF(AND('R. Seguridad de la Información'!$AE$17="Media",'R. Seguridad de la Información'!$AG$17="Catastrófico"),CONCATENATE("R2C",'R. Seguridad de la Información'!$U$17),"")</f>
        <v/>
      </c>
      <c r="AK27" s="47" t="str">
        <f>IF(AND('R. Seguridad de la Información'!$AE$18="Media",'R. Seguridad de la Información'!$AG$18="Catastrófico"),CONCATENATE("R2C",'R. Seguridad de la Información'!$U$18),"")</f>
        <v/>
      </c>
      <c r="AL27" s="47" t="str">
        <f>IF(AND('R. Seguridad de la Información'!$AE$19="Media",'R. Seguridad de la Información'!$AG$19="Catastrófico"),CONCATENATE("R2C",'R. Seguridad de la Información'!$U$19),"")</f>
        <v/>
      </c>
      <c r="AM27" s="48" t="str">
        <f>IF(AND('R. Seguridad de la Información'!$AE$20="Media",'R. Seguridad de la Información'!$AG$20="Catastrófico"),CONCATENATE("R2C",'R. Seguridad de la Información'!$U$20),"")</f>
        <v/>
      </c>
      <c r="AN27" s="75"/>
      <c r="AO27" s="654"/>
      <c r="AP27" s="655"/>
      <c r="AQ27" s="655"/>
      <c r="AR27" s="655"/>
      <c r="AS27" s="655"/>
      <c r="AT27" s="656"/>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523"/>
      <c r="C28" s="523"/>
      <c r="D28" s="524"/>
      <c r="E28" s="624"/>
      <c r="F28" s="625"/>
      <c r="G28" s="625"/>
      <c r="H28" s="625"/>
      <c r="I28" s="640"/>
      <c r="J28" s="59" t="str">
        <f>IF(AND('R. Seguridad de la Información'!$AE$21="Media",'R. Seguridad de la Información'!$AG$21="Leve"),CONCATENATE("R3C",'R. Seguridad de la Información'!$U$21),"")</f>
        <v/>
      </c>
      <c r="K28" s="60" t="str">
        <f>IF(AND('R. Seguridad de la Información'!$AE$22="Media",'R. Seguridad de la Información'!$AG$22="Leve"),CONCATENATE("R3C",'R. Seguridad de la Información'!$U$22),"")</f>
        <v/>
      </c>
      <c r="L28" s="60" t="str">
        <f>IF(AND('R. Seguridad de la Información'!$AE$23="Media",'R. Seguridad de la Información'!$AG$23="Leve"),CONCATENATE("R3C",'R. Seguridad de la Información'!$U$23),"")</f>
        <v/>
      </c>
      <c r="M28" s="60" t="str">
        <f>IF(AND('R. Seguridad de la Información'!$AE$24="Media",'R. Seguridad de la Información'!$AG$24="Leve"),CONCATENATE("R3C",'R. Seguridad de la Información'!$U$24),"")</f>
        <v/>
      </c>
      <c r="N28" s="60" t="str">
        <f>IF(AND('R. Seguridad de la Información'!$AE$25="Media",'R. Seguridad de la Información'!$AG$25="Leve"),CONCATENATE("R3C",'R. Seguridad de la Información'!$U$25),"")</f>
        <v/>
      </c>
      <c r="O28" s="61" t="str">
        <f>IF(AND('R. Seguridad de la Información'!$AE$26="Media",'R. Seguridad de la Información'!$AG$26="Leve"),CONCATENATE("R3C",'R. Seguridad de la Información'!$U$26),"")</f>
        <v/>
      </c>
      <c r="P28" s="59" t="str">
        <f>IF(AND('R. Seguridad de la Información'!$AE$21="Media",'R. Seguridad de la Información'!$AG$21="Menor"),CONCATENATE("R3C",'R. Seguridad de la Información'!$U$21),"")</f>
        <v/>
      </c>
      <c r="Q28" s="60" t="str">
        <f>IF(AND('R. Seguridad de la Información'!$AE$22="Media",'R. Seguridad de la Información'!$AG$22="Menor"),CONCATENATE("R3C",'R. Seguridad de la Información'!$U$22),"")</f>
        <v/>
      </c>
      <c r="R28" s="60" t="str">
        <f>IF(AND('R. Seguridad de la Información'!$AE$23="Media",'R. Seguridad de la Información'!$AG$23="Menor"),CONCATENATE("R3C",'R. Seguridad de la Información'!$U$23),"")</f>
        <v/>
      </c>
      <c r="S28" s="60" t="str">
        <f>IF(AND('R. Seguridad de la Información'!$AE$24="Media",'R. Seguridad de la Información'!$AG$24="Menor"),CONCATENATE("R3C",'R. Seguridad de la Información'!$U$24),"")</f>
        <v/>
      </c>
      <c r="T28" s="60" t="str">
        <f>IF(AND('R. Seguridad de la Información'!$AE$25="Media",'R. Seguridad de la Información'!$AG$25="Menor"),CONCATENATE("R3C",'R. Seguridad de la Información'!$U$25),"")</f>
        <v/>
      </c>
      <c r="U28" s="61" t="str">
        <f>IF(AND('R. Seguridad de la Información'!$AE$26="Media",'R. Seguridad de la Información'!$AG$26="Menor"),CONCATENATE("R3C",'R. Seguridad de la Información'!$U$26),"")</f>
        <v/>
      </c>
      <c r="V28" s="59" t="str">
        <f>IF(AND('R. Seguridad de la Información'!$AE$21="Media",'R. Seguridad de la Información'!$AG$21="Moderado"),CONCATENATE("R3C",'R. Seguridad de la Información'!$U$21),"")</f>
        <v/>
      </c>
      <c r="W28" s="60" t="str">
        <f>IF(AND('R. Seguridad de la Información'!$AE$22="Media",'R. Seguridad de la Información'!$AG$22="Moderado"),CONCATENATE("R3C",'R. Seguridad de la Información'!$U$22),"")</f>
        <v/>
      </c>
      <c r="X28" s="60" t="str">
        <f>IF(AND('R. Seguridad de la Información'!$AE$23="Media",'R. Seguridad de la Información'!$AG$23="Moderado"),CONCATENATE("R3C",'R. Seguridad de la Información'!$U$23),"")</f>
        <v/>
      </c>
      <c r="Y28" s="60" t="str">
        <f>IF(AND('R. Seguridad de la Información'!$AE$24="Media",'R. Seguridad de la Información'!$AG$24="Moderado"),CONCATENATE("R3C",'R. Seguridad de la Información'!$U$24),"")</f>
        <v/>
      </c>
      <c r="Z28" s="60" t="str">
        <f>IF(AND('R. Seguridad de la Información'!$AE$25="Media",'R. Seguridad de la Información'!$AG$25="Moderado"),CONCATENATE("R3C",'R. Seguridad de la Información'!$U$25),"")</f>
        <v/>
      </c>
      <c r="AA28" s="61" t="str">
        <f>IF(AND('R. Seguridad de la Información'!$AE$26="Media",'R. Seguridad de la Información'!$AG$26="Moderado"),CONCATENATE("R3C",'R. Seguridad de la Información'!$U$26),"")</f>
        <v/>
      </c>
      <c r="AB28" s="43" t="str">
        <f>IF(AND('R. Seguridad de la Información'!$AE$21="Media",'R. Seguridad de la Información'!$AG$21="Mayor"),CONCATENATE("R3C",'R. Seguridad de la Información'!$U$21),"")</f>
        <v/>
      </c>
      <c r="AC28" s="44" t="str">
        <f>IF(AND('R. Seguridad de la Información'!$AE$22="Media",'R. Seguridad de la Información'!$AG$22="Mayor"),CONCATENATE("R3C",'R. Seguridad de la Información'!$U$22),"")</f>
        <v/>
      </c>
      <c r="AD28" s="44" t="str">
        <f>IF(AND('R. Seguridad de la Información'!$AE$23="Media",'R. Seguridad de la Información'!$AG$23="Mayor"),CONCATENATE("R3C",'R. Seguridad de la Información'!$U$23),"")</f>
        <v/>
      </c>
      <c r="AE28" s="44" t="str">
        <f>IF(AND('R. Seguridad de la Información'!$AE$24="Media",'R. Seguridad de la Información'!$AG$24="Mayor"),CONCATENATE("R3C",'R. Seguridad de la Información'!$U$24),"")</f>
        <v/>
      </c>
      <c r="AF28" s="44" t="str">
        <f>IF(AND('R. Seguridad de la Información'!$AE$25="Media",'R. Seguridad de la Información'!$AG$25="Mayor"),CONCATENATE("R3C",'R. Seguridad de la Información'!$U$25),"")</f>
        <v/>
      </c>
      <c r="AG28" s="45" t="str">
        <f>IF(AND('R. Seguridad de la Información'!$AE$26="Media",'R. Seguridad de la Información'!$AG$26="Mayor"),CONCATENATE("R3C",'R. Seguridad de la Información'!$U$26),"")</f>
        <v/>
      </c>
      <c r="AH28" s="46" t="str">
        <f>IF(AND('R. Seguridad de la Información'!$AE$21="Media",'R. Seguridad de la Información'!$AG$21="Catastrófico"),CONCATENATE("R3C",'R. Seguridad de la Información'!$U$21),"")</f>
        <v/>
      </c>
      <c r="AI28" s="47" t="str">
        <f>IF(AND('R. Seguridad de la Información'!$AE$22="Media",'R. Seguridad de la Información'!$AG$22="Catastrófico"),CONCATENATE("R3C",'R. Seguridad de la Información'!$U$22),"")</f>
        <v/>
      </c>
      <c r="AJ28" s="47" t="str">
        <f>IF(AND('R. Seguridad de la Información'!$AE$23="Media",'R. Seguridad de la Información'!$AG$23="Catastrófico"),CONCATENATE("R3C",'R. Seguridad de la Información'!$U$23),"")</f>
        <v/>
      </c>
      <c r="AK28" s="47" t="str">
        <f>IF(AND('R. Seguridad de la Información'!$AE$24="Media",'R. Seguridad de la Información'!$AG$24="Catastrófico"),CONCATENATE("R3C",'R. Seguridad de la Información'!$U$24),"")</f>
        <v/>
      </c>
      <c r="AL28" s="47" t="str">
        <f>IF(AND('R. Seguridad de la Información'!$AE$25="Media",'R. Seguridad de la Información'!$AG$25="Catastrófico"),CONCATENATE("R3C",'R. Seguridad de la Información'!$U$25),"")</f>
        <v/>
      </c>
      <c r="AM28" s="48" t="str">
        <f>IF(AND('R. Seguridad de la Información'!$AE$26="Media",'R. Seguridad de la Información'!$AG$26="Catastrófico"),CONCATENATE("R3C",'R. Seguridad de la Información'!$U$26),"")</f>
        <v/>
      </c>
      <c r="AN28" s="75"/>
      <c r="AO28" s="654"/>
      <c r="AP28" s="655"/>
      <c r="AQ28" s="655"/>
      <c r="AR28" s="655"/>
      <c r="AS28" s="655"/>
      <c r="AT28" s="656"/>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523"/>
      <c r="C29" s="523"/>
      <c r="D29" s="524"/>
      <c r="E29" s="624"/>
      <c r="F29" s="625"/>
      <c r="G29" s="625"/>
      <c r="H29" s="625"/>
      <c r="I29" s="640"/>
      <c r="J29" s="59" t="str">
        <f>IF(AND('R. Seguridad de la Información'!$AE$27="Media",'R. Seguridad de la Información'!$AG$27="Leve"),CONCATENATE("R4C",'R. Seguridad de la Información'!$U$27),"")</f>
        <v/>
      </c>
      <c r="K29" s="60" t="str">
        <f>IF(AND('R. Seguridad de la Información'!$AE$28="Media",'R. Seguridad de la Información'!$AG$28="Leve"),CONCATENATE("R4C",'R. Seguridad de la Información'!$U$28),"")</f>
        <v/>
      </c>
      <c r="L29" s="60" t="str">
        <f>IF(AND('R. Seguridad de la Información'!$AE$29="Media",'R. Seguridad de la Información'!$AG$29="Leve"),CONCATENATE("R4C",'R. Seguridad de la Información'!$U$29),"")</f>
        <v/>
      </c>
      <c r="M29" s="60" t="str">
        <f>IF(AND('R. Seguridad de la Información'!$AE$30="Media",'R. Seguridad de la Información'!$AG$30="Leve"),CONCATENATE("R4C",'R. Seguridad de la Información'!$U$30),"")</f>
        <v/>
      </c>
      <c r="N29" s="60" t="str">
        <f>IF(AND('R. Seguridad de la Información'!$AE$31="Media",'R. Seguridad de la Información'!$AG$31="Leve"),CONCATENATE("R4C",'R. Seguridad de la Información'!$U$31),"")</f>
        <v/>
      </c>
      <c r="O29" s="61" t="str">
        <f>IF(AND('R. Seguridad de la Información'!$AE$32="Media",'R. Seguridad de la Información'!$AG$32="Leve"),CONCATENATE("R4C",'R. Seguridad de la Información'!$U$32),"")</f>
        <v/>
      </c>
      <c r="P29" s="59" t="str">
        <f>IF(AND('R. Seguridad de la Información'!$AE$27="Media",'R. Seguridad de la Información'!$AG$27="Menor"),CONCATENATE("R4C",'R. Seguridad de la Información'!$U$27),"")</f>
        <v/>
      </c>
      <c r="Q29" s="60" t="str">
        <f>IF(AND('R. Seguridad de la Información'!$AE$28="Media",'R. Seguridad de la Información'!$AG$28="Menor"),CONCATENATE("R4C",'R. Seguridad de la Información'!$U$28),"")</f>
        <v/>
      </c>
      <c r="R29" s="60" t="str">
        <f>IF(AND('R. Seguridad de la Información'!$AE$29="Media",'R. Seguridad de la Información'!$AG$29="Menor"),CONCATENATE("R4C",'R. Seguridad de la Información'!$U$29),"")</f>
        <v/>
      </c>
      <c r="S29" s="60" t="str">
        <f>IF(AND('R. Seguridad de la Información'!$AE$30="Media",'R. Seguridad de la Información'!$AG$30="Menor"),CONCATENATE("R4C",'R. Seguridad de la Información'!$U$30),"")</f>
        <v/>
      </c>
      <c r="T29" s="60" t="str">
        <f>IF(AND('R. Seguridad de la Información'!$AE$31="Media",'R. Seguridad de la Información'!$AG$31="Menor"),CONCATENATE("R4C",'R. Seguridad de la Información'!$U$31),"")</f>
        <v/>
      </c>
      <c r="U29" s="61" t="str">
        <f>IF(AND('R. Seguridad de la Información'!$AE$32="Media",'R. Seguridad de la Información'!$AG$32="Menor"),CONCATENATE("R4C",'R. Seguridad de la Información'!$U$32),"")</f>
        <v/>
      </c>
      <c r="V29" s="59" t="str">
        <f>IF(AND('R. Seguridad de la Información'!$AE$27="Media",'R. Seguridad de la Información'!$AG$27="Moderado"),CONCATENATE("R4C",'R. Seguridad de la Información'!$U$27),"")</f>
        <v/>
      </c>
      <c r="W29" s="60" t="str">
        <f>IF(AND('R. Seguridad de la Información'!$AE$28="Media",'R. Seguridad de la Información'!$AG$28="Moderado"),CONCATENATE("R4C",'R. Seguridad de la Información'!$U$28),"")</f>
        <v/>
      </c>
      <c r="X29" s="60" t="str">
        <f>IF(AND('R. Seguridad de la Información'!$AE$29="Media",'R. Seguridad de la Información'!$AG$29="Moderado"),CONCATENATE("R4C",'R. Seguridad de la Información'!$U$29),"")</f>
        <v/>
      </c>
      <c r="Y29" s="60" t="str">
        <f>IF(AND('R. Seguridad de la Información'!$AE$30="Media",'R. Seguridad de la Información'!$AG$30="Moderado"),CONCATENATE("R4C",'R. Seguridad de la Información'!$U$30),"")</f>
        <v/>
      </c>
      <c r="Z29" s="60" t="str">
        <f>IF(AND('R. Seguridad de la Información'!$AE$31="Media",'R. Seguridad de la Información'!$AG$31="Moderado"),CONCATENATE("R4C",'R. Seguridad de la Información'!$U$31),"")</f>
        <v/>
      </c>
      <c r="AA29" s="61" t="str">
        <f>IF(AND('R. Seguridad de la Información'!$AE$32="Media",'R. Seguridad de la Información'!$AG$32="Moderado"),CONCATENATE("R4C",'R. Seguridad de la Información'!$U$32),"")</f>
        <v/>
      </c>
      <c r="AB29" s="43" t="str">
        <f>IF(AND('R. Seguridad de la Información'!$AE$27="Media",'R. Seguridad de la Información'!$AG$27="Mayor"),CONCATENATE("R4C",'R. Seguridad de la Información'!$U$27),"")</f>
        <v/>
      </c>
      <c r="AC29" s="44" t="str">
        <f>IF(AND('R. Seguridad de la Información'!$AE$28="Media",'R. Seguridad de la Información'!$AG$28="Mayor"),CONCATENATE("R4C",'R. Seguridad de la Información'!$U$28),"")</f>
        <v/>
      </c>
      <c r="AD29" s="49" t="str">
        <f>IF(AND('R. Seguridad de la Información'!$AE$29="Media",'R. Seguridad de la Información'!$AG$29="Mayor"),CONCATENATE("R4C",'R. Seguridad de la Información'!$U$29),"")</f>
        <v/>
      </c>
      <c r="AE29" s="49" t="str">
        <f>IF(AND('R. Seguridad de la Información'!$AE$30="Media",'R. Seguridad de la Información'!$AG$30="Mayor"),CONCATENATE("R4C",'R. Seguridad de la Información'!$U$30),"")</f>
        <v/>
      </c>
      <c r="AF29" s="49" t="str">
        <f>IF(AND('R. Seguridad de la Información'!$AE$31="Media",'R. Seguridad de la Información'!$AG$31="Mayor"),CONCATENATE("R4C",'R. Seguridad de la Información'!$U$31),"")</f>
        <v/>
      </c>
      <c r="AG29" s="45" t="str">
        <f>IF(AND('R. Seguridad de la Información'!$AE$32="Media",'R. Seguridad de la Información'!$AG$32="Mayor"),CONCATENATE("R4C",'R. Seguridad de la Información'!$U$32),"")</f>
        <v/>
      </c>
      <c r="AH29" s="46" t="str">
        <f>IF(AND('R. Seguridad de la Información'!$AE$27="Media",'R. Seguridad de la Información'!$AG$27="Catastrófico"),CONCATENATE("R4C",'R. Seguridad de la Información'!$U$27),"")</f>
        <v/>
      </c>
      <c r="AI29" s="47" t="str">
        <f>IF(AND('R. Seguridad de la Información'!$AE$28="Media",'R. Seguridad de la Información'!$AG$28="Catastrófico"),CONCATENATE("R4C",'R. Seguridad de la Información'!$U$28),"")</f>
        <v/>
      </c>
      <c r="AJ29" s="47" t="str">
        <f>IF(AND('R. Seguridad de la Información'!$AE$29="Media",'R. Seguridad de la Información'!$AG$29="Catastrófico"),CONCATENATE("R4C",'R. Seguridad de la Información'!$U$29),"")</f>
        <v/>
      </c>
      <c r="AK29" s="47" t="str">
        <f>IF(AND('R. Seguridad de la Información'!$AE$30="Media",'R. Seguridad de la Información'!$AG$30="Catastrófico"),CONCATENATE("R4C",'R. Seguridad de la Información'!$U$30),"")</f>
        <v/>
      </c>
      <c r="AL29" s="47" t="str">
        <f>IF(AND('R. Seguridad de la Información'!$AE$31="Media",'R. Seguridad de la Información'!$AG$31="Catastrófico"),CONCATENATE("R4C",'R. Seguridad de la Información'!$U$31),"")</f>
        <v/>
      </c>
      <c r="AM29" s="48" t="str">
        <f>IF(AND('R. Seguridad de la Información'!$AE$32="Media",'R. Seguridad de la Información'!$AG$32="Catastrófico"),CONCATENATE("R4C",'R. Seguridad de la Información'!$U$32),"")</f>
        <v/>
      </c>
      <c r="AN29" s="75"/>
      <c r="AO29" s="654"/>
      <c r="AP29" s="655"/>
      <c r="AQ29" s="655"/>
      <c r="AR29" s="655"/>
      <c r="AS29" s="655"/>
      <c r="AT29" s="656"/>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523"/>
      <c r="C30" s="523"/>
      <c r="D30" s="524"/>
      <c r="E30" s="624"/>
      <c r="F30" s="625"/>
      <c r="G30" s="625"/>
      <c r="H30" s="625"/>
      <c r="I30" s="640"/>
      <c r="J30" s="59" t="str">
        <f>IF(AND('R. Seguridad de la Información'!$AE$33="Media",'R. Seguridad de la Información'!$AG$33="Leve"),CONCATENATE("R5C",'R. Seguridad de la Información'!$U$33),"")</f>
        <v/>
      </c>
      <c r="K30" s="60" t="str">
        <f>IF(AND('R. Seguridad de la Información'!$AE$34="Media",'R. Seguridad de la Información'!$AG$34="Leve"),CONCATENATE("R5C",'R. Seguridad de la Información'!$U$34),"")</f>
        <v/>
      </c>
      <c r="L30" s="60" t="str">
        <f>IF(AND('R. Seguridad de la Información'!$AE$35="Media",'R. Seguridad de la Información'!$AG$35="Leve"),CONCATENATE("R5C",'R. Seguridad de la Información'!$U$35),"")</f>
        <v/>
      </c>
      <c r="M30" s="60" t="str">
        <f>IF(AND('R. Seguridad de la Información'!$AE$36="Media",'R. Seguridad de la Información'!$AG$36="Leve"),CONCATENATE("R5C",'R. Seguridad de la Información'!$U$36),"")</f>
        <v/>
      </c>
      <c r="N30" s="60" t="str">
        <f>IF(AND('R. Seguridad de la Información'!$AE$37="Media",'R. Seguridad de la Información'!$AG$37="Leve"),CONCATENATE("R5C",'R. Seguridad de la Información'!$U$37),"")</f>
        <v/>
      </c>
      <c r="O30" s="61" t="str">
        <f>IF(AND('R. Seguridad de la Información'!$AE$38="Media",'R. Seguridad de la Información'!$AG$38="Leve"),CONCATENATE("R5C",'R. Seguridad de la Información'!$U$38),"")</f>
        <v/>
      </c>
      <c r="P30" s="59" t="str">
        <f>IF(AND('R. Seguridad de la Información'!$AE$33="Media",'R. Seguridad de la Información'!$AG$33="Menor"),CONCATENATE("R5C",'R. Seguridad de la Información'!$U$33),"")</f>
        <v/>
      </c>
      <c r="Q30" s="60" t="str">
        <f>IF(AND('R. Seguridad de la Información'!$AE$34="Media",'R. Seguridad de la Información'!$AG$34="Menor"),CONCATENATE("R5C",'R. Seguridad de la Información'!$U$34),"")</f>
        <v/>
      </c>
      <c r="R30" s="60" t="str">
        <f>IF(AND('R. Seguridad de la Información'!$AE$35="Media",'R. Seguridad de la Información'!$AG$35="Menor"),CONCATENATE("R5C",'R. Seguridad de la Información'!$U$35),"")</f>
        <v/>
      </c>
      <c r="S30" s="60" t="str">
        <f>IF(AND('R. Seguridad de la Información'!$AE$36="Media",'R. Seguridad de la Información'!$AG$36="Menor"),CONCATENATE("R5C",'R. Seguridad de la Información'!$U$36),"")</f>
        <v/>
      </c>
      <c r="T30" s="60" t="str">
        <f>IF(AND('R. Seguridad de la Información'!$AE$37="Media",'R. Seguridad de la Información'!$AG$37="Menor"),CONCATENATE("R5C",'R. Seguridad de la Información'!$U$37),"")</f>
        <v/>
      </c>
      <c r="U30" s="61" t="str">
        <f>IF(AND('R. Seguridad de la Información'!$AE$38="Media",'R. Seguridad de la Información'!$AG$38="Menor"),CONCATENATE("R5C",'R. Seguridad de la Información'!$U$38),"")</f>
        <v/>
      </c>
      <c r="V30" s="59" t="str">
        <f>IF(AND('R. Seguridad de la Información'!$AE$33="Media",'R. Seguridad de la Información'!$AG$33="Moderado"),CONCATENATE("R5C",'R. Seguridad de la Información'!$U$33),"")</f>
        <v/>
      </c>
      <c r="W30" s="60" t="str">
        <f>IF(AND('R. Seguridad de la Información'!$AE$34="Media",'R. Seguridad de la Información'!$AG$34="Moderado"),CONCATENATE("R5C",'R. Seguridad de la Información'!$U$34),"")</f>
        <v/>
      </c>
      <c r="X30" s="60" t="str">
        <f>IF(AND('R. Seguridad de la Información'!$AE$35="Media",'R. Seguridad de la Información'!$AG$35="Moderado"),CONCATENATE("R5C",'R. Seguridad de la Información'!$U$35),"")</f>
        <v/>
      </c>
      <c r="Y30" s="60" t="str">
        <f>IF(AND('R. Seguridad de la Información'!$AE$36="Media",'R. Seguridad de la Información'!$AG$36="Moderado"),CONCATENATE("R5C",'R. Seguridad de la Información'!$U$36),"")</f>
        <v/>
      </c>
      <c r="Z30" s="60" t="str">
        <f>IF(AND('R. Seguridad de la Información'!$AE$37="Media",'R. Seguridad de la Información'!$AG$37="Moderado"),CONCATENATE("R5C",'R. Seguridad de la Información'!$U$37),"")</f>
        <v/>
      </c>
      <c r="AA30" s="61" t="str">
        <f>IF(AND('R. Seguridad de la Información'!$AE$38="Media",'R. Seguridad de la Información'!$AG$38="Moderado"),CONCATENATE("R5C",'R. Seguridad de la Información'!$U$38),"")</f>
        <v/>
      </c>
      <c r="AB30" s="43" t="str">
        <f>IF(AND('R. Seguridad de la Información'!$AE$33="Media",'R. Seguridad de la Información'!$AG$33="Mayor"),CONCATENATE("R5C",'R. Seguridad de la Información'!$U$33),"")</f>
        <v/>
      </c>
      <c r="AC30" s="44" t="str">
        <f>IF(AND('R. Seguridad de la Información'!$AE$34="Media",'R. Seguridad de la Información'!$AG$34="Mayor"),CONCATENATE("R5C",'R. Seguridad de la Información'!$U$34),"")</f>
        <v/>
      </c>
      <c r="AD30" s="49" t="str">
        <f>IF(AND('R. Seguridad de la Información'!$AE$35="Media",'R. Seguridad de la Información'!$AG$35="Mayor"),CONCATENATE("R5C",'R. Seguridad de la Información'!$U$35),"")</f>
        <v/>
      </c>
      <c r="AE30" s="49" t="str">
        <f>IF(AND('R. Seguridad de la Información'!$AE$36="Media",'R. Seguridad de la Información'!$AG$36="Mayor"),CONCATENATE("R5C",'R. Seguridad de la Información'!$U$36),"")</f>
        <v/>
      </c>
      <c r="AF30" s="49" t="str">
        <f>IF(AND('R. Seguridad de la Información'!$AE$37="Media",'R. Seguridad de la Información'!$AG$37="Mayor"),CONCATENATE("R5C",'R. Seguridad de la Información'!$U$37),"")</f>
        <v/>
      </c>
      <c r="AG30" s="45" t="str">
        <f>IF(AND('R. Seguridad de la Información'!$AE$38="Media",'R. Seguridad de la Información'!$AG$38="Mayor"),CONCATENATE("R5C",'R. Seguridad de la Información'!$U$38),"")</f>
        <v/>
      </c>
      <c r="AH30" s="46" t="str">
        <f>IF(AND('R. Seguridad de la Información'!$AE$33="Media",'R. Seguridad de la Información'!$AG$33="Catastrófico"),CONCATENATE("R5C",'R. Seguridad de la Información'!$U$33),"")</f>
        <v/>
      </c>
      <c r="AI30" s="47" t="str">
        <f>IF(AND('R. Seguridad de la Información'!$AE$34="Media",'R. Seguridad de la Información'!$AG$34="Catastrófico"),CONCATENATE("R5C",'R. Seguridad de la Información'!$U$34),"")</f>
        <v/>
      </c>
      <c r="AJ30" s="47" t="str">
        <f>IF(AND('R. Seguridad de la Información'!$AE$35="Media",'R. Seguridad de la Información'!$AG$35="Catastrófico"),CONCATENATE("R5C",'R. Seguridad de la Información'!$U$35),"")</f>
        <v/>
      </c>
      <c r="AK30" s="47" t="str">
        <f>IF(AND('R. Seguridad de la Información'!$AE$36="Media",'R. Seguridad de la Información'!$AG$36="Catastrófico"),CONCATENATE("R5C",'R. Seguridad de la Información'!$U$36),"")</f>
        <v/>
      </c>
      <c r="AL30" s="47" t="str">
        <f>IF(AND('R. Seguridad de la Información'!$AE$37="Media",'R. Seguridad de la Información'!$AG$37="Catastrófico"),CONCATENATE("R5C",'R. Seguridad de la Información'!$U$37),"")</f>
        <v/>
      </c>
      <c r="AM30" s="48" t="str">
        <f>IF(AND('R. Seguridad de la Información'!$AE$38="Media",'R. Seguridad de la Información'!$AG$38="Catastrófico"),CONCATENATE("R5C",'R. Seguridad de la Información'!$U$38),"")</f>
        <v/>
      </c>
      <c r="AN30" s="75"/>
      <c r="AO30" s="654"/>
      <c r="AP30" s="655"/>
      <c r="AQ30" s="655"/>
      <c r="AR30" s="655"/>
      <c r="AS30" s="655"/>
      <c r="AT30" s="656"/>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523"/>
      <c r="C31" s="523"/>
      <c r="D31" s="524"/>
      <c r="E31" s="624"/>
      <c r="F31" s="625"/>
      <c r="G31" s="625"/>
      <c r="H31" s="625"/>
      <c r="I31" s="640"/>
      <c r="J31" s="59" t="str">
        <f>IF(AND('R. Seguridad de la Información'!$AE$39="Media",'R. Seguridad de la Información'!$AG$39="Leve"),CONCATENATE("R6C",'R. Seguridad de la Información'!$U$39),"")</f>
        <v/>
      </c>
      <c r="K31" s="60" t="str">
        <f>IF(AND('R. Seguridad de la Información'!$AE$40="Media",'R. Seguridad de la Información'!$AG$40="Leve"),CONCATENATE("R6C",'R. Seguridad de la Información'!$U$40),"")</f>
        <v/>
      </c>
      <c r="L31" s="60" t="str">
        <f>IF(AND('R. Seguridad de la Información'!$AE$41="Media",'R. Seguridad de la Información'!$AG$41="Leve"),CONCATENATE("R6C",'R. Seguridad de la Información'!$U$41),"")</f>
        <v/>
      </c>
      <c r="M31" s="60" t="str">
        <f>IF(AND('R. Seguridad de la Información'!$AE$42="Media",'R. Seguridad de la Información'!$AG$42="Leve"),CONCATENATE("R6C",'R. Seguridad de la Información'!$U$42),"")</f>
        <v/>
      </c>
      <c r="N31" s="60" t="str">
        <f>IF(AND('R. Seguridad de la Información'!$AE$43="Media",'R. Seguridad de la Información'!$AG$43="Leve"),CONCATENATE("R6C",'R. Seguridad de la Información'!$U$43),"")</f>
        <v/>
      </c>
      <c r="O31" s="61" t="str">
        <f>IF(AND('R. Seguridad de la Información'!$AE$44="Media",'R. Seguridad de la Información'!$AG$44="Leve"),CONCATENATE("R6C",'R. Seguridad de la Información'!$U$44),"")</f>
        <v/>
      </c>
      <c r="P31" s="59" t="str">
        <f>IF(AND('R. Seguridad de la Información'!$AE$39="Media",'R. Seguridad de la Información'!$AG$39="Menor"),CONCATENATE("R6C",'R. Seguridad de la Información'!$U$39),"")</f>
        <v/>
      </c>
      <c r="Q31" s="60" t="str">
        <f>IF(AND('R. Seguridad de la Información'!$AE$40="Media",'R. Seguridad de la Información'!$AG$40="Menor"),CONCATENATE("R6C",'R. Seguridad de la Información'!$U$40),"")</f>
        <v/>
      </c>
      <c r="R31" s="60" t="str">
        <f>IF(AND('R. Seguridad de la Información'!$AE$41="Media",'R. Seguridad de la Información'!$AG$41="Menor"),CONCATENATE("R6C",'R. Seguridad de la Información'!$U$41),"")</f>
        <v/>
      </c>
      <c r="S31" s="60" t="str">
        <f>IF(AND('R. Seguridad de la Información'!$AE$42="Media",'R. Seguridad de la Información'!$AG$42="Menor"),CONCATENATE("R6C",'R. Seguridad de la Información'!$U$42),"")</f>
        <v/>
      </c>
      <c r="T31" s="60" t="str">
        <f>IF(AND('R. Seguridad de la Información'!$AE$43="Media",'R. Seguridad de la Información'!$AG$43="Menor"),CONCATENATE("R6C",'R. Seguridad de la Información'!$U$43),"")</f>
        <v/>
      </c>
      <c r="U31" s="61" t="str">
        <f>IF(AND('R. Seguridad de la Información'!$AE$44="Media",'R. Seguridad de la Información'!$AG$44="Menor"),CONCATENATE("R6C",'R. Seguridad de la Información'!$U$44),"")</f>
        <v/>
      </c>
      <c r="V31" s="59" t="str">
        <f>IF(AND('R. Seguridad de la Información'!$AE$39="Media",'R. Seguridad de la Información'!$AG$39="Moderado"),CONCATENATE("R6C",'R. Seguridad de la Información'!$U$39),"")</f>
        <v/>
      </c>
      <c r="W31" s="60" t="str">
        <f>IF(AND('R. Seguridad de la Información'!$AE$40="Media",'R. Seguridad de la Información'!$AG$40="Moderado"),CONCATENATE("R6C",'R. Seguridad de la Información'!$U$40),"")</f>
        <v/>
      </c>
      <c r="X31" s="60" t="str">
        <f>IF(AND('R. Seguridad de la Información'!$AE$41="Media",'R. Seguridad de la Información'!$AG$41="Moderado"),CONCATENATE("R6C",'R. Seguridad de la Información'!$U$41),"")</f>
        <v/>
      </c>
      <c r="Y31" s="60" t="str">
        <f>IF(AND('R. Seguridad de la Información'!$AE$42="Media",'R. Seguridad de la Información'!$AG$42="Moderado"),CONCATENATE("R6C",'R. Seguridad de la Información'!$U$42),"")</f>
        <v/>
      </c>
      <c r="Z31" s="60" t="str">
        <f>IF(AND('R. Seguridad de la Información'!$AE$43="Media",'R. Seguridad de la Información'!$AG$43="Moderado"),CONCATENATE("R6C",'R. Seguridad de la Información'!$U$43),"")</f>
        <v/>
      </c>
      <c r="AA31" s="61" t="str">
        <f>IF(AND('R. Seguridad de la Información'!$AE$44="Media",'R. Seguridad de la Información'!$AG$44="Moderado"),CONCATENATE("R6C",'R. Seguridad de la Información'!$U$44),"")</f>
        <v/>
      </c>
      <c r="AB31" s="43" t="str">
        <f>IF(AND('R. Seguridad de la Información'!$AE$39="Media",'R. Seguridad de la Información'!$AG$39="Mayor"),CONCATENATE("R6C",'R. Seguridad de la Información'!$U$39),"")</f>
        <v/>
      </c>
      <c r="AC31" s="44" t="str">
        <f>IF(AND('R. Seguridad de la Información'!$AE$40="Media",'R. Seguridad de la Información'!$AG$40="Mayor"),CONCATENATE("R6C",'R. Seguridad de la Información'!$U$40),"")</f>
        <v/>
      </c>
      <c r="AD31" s="49" t="str">
        <f>IF(AND('R. Seguridad de la Información'!$AE$41="Media",'R. Seguridad de la Información'!$AG$41="Mayor"),CONCATENATE("R6C",'R. Seguridad de la Información'!$U$41),"")</f>
        <v/>
      </c>
      <c r="AE31" s="49" t="str">
        <f>IF(AND('R. Seguridad de la Información'!$AE$42="Media",'R. Seguridad de la Información'!$AG$42="Mayor"),CONCATENATE("R6C",'R. Seguridad de la Información'!$U$42),"")</f>
        <v/>
      </c>
      <c r="AF31" s="49" t="str">
        <f>IF(AND('R. Seguridad de la Información'!$AE$43="Media",'R. Seguridad de la Información'!$AG$43="Mayor"),CONCATENATE("R6C",'R. Seguridad de la Información'!$U$43),"")</f>
        <v/>
      </c>
      <c r="AG31" s="45" t="str">
        <f>IF(AND('R. Seguridad de la Información'!$AE$44="Media",'R. Seguridad de la Información'!$AG$44="Mayor"),CONCATENATE("R6C",'R. Seguridad de la Información'!$U$44),"")</f>
        <v/>
      </c>
      <c r="AH31" s="46" t="str">
        <f>IF(AND('R. Seguridad de la Información'!$AE$39="Media",'R. Seguridad de la Información'!$AG$39="Catastrófico"),CONCATENATE("R6C",'R. Seguridad de la Información'!$U$39),"")</f>
        <v/>
      </c>
      <c r="AI31" s="47" t="str">
        <f>IF(AND('R. Seguridad de la Información'!$AE$40="Media",'R. Seguridad de la Información'!$AG$40="Catastrófico"),CONCATENATE("R6C",'R. Seguridad de la Información'!$U$40),"")</f>
        <v/>
      </c>
      <c r="AJ31" s="47" t="str">
        <f>IF(AND('R. Seguridad de la Información'!$AE$41="Media",'R. Seguridad de la Información'!$AG$41="Catastrófico"),CONCATENATE("R6C",'R. Seguridad de la Información'!$U$41),"")</f>
        <v/>
      </c>
      <c r="AK31" s="47" t="str">
        <f>IF(AND('R. Seguridad de la Información'!$AE$42="Media",'R. Seguridad de la Información'!$AG$42="Catastrófico"),CONCATENATE("R6C",'R. Seguridad de la Información'!$U$42),"")</f>
        <v/>
      </c>
      <c r="AL31" s="47" t="str">
        <f>IF(AND('R. Seguridad de la Información'!$AE$43="Media",'R. Seguridad de la Información'!$AG$43="Catastrófico"),CONCATENATE("R6C",'R. Seguridad de la Información'!$U$43),"")</f>
        <v/>
      </c>
      <c r="AM31" s="48" t="str">
        <f>IF(AND('R. Seguridad de la Información'!$AE$44="Media",'R. Seguridad de la Información'!$AG$44="Catastrófico"),CONCATENATE("R6C",'R. Seguridad de la Información'!$U$44),"")</f>
        <v/>
      </c>
      <c r="AN31" s="75"/>
      <c r="AO31" s="654"/>
      <c r="AP31" s="655"/>
      <c r="AQ31" s="655"/>
      <c r="AR31" s="655"/>
      <c r="AS31" s="655"/>
      <c r="AT31" s="656"/>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523"/>
      <c r="C32" s="523"/>
      <c r="D32" s="524"/>
      <c r="E32" s="624"/>
      <c r="F32" s="625"/>
      <c r="G32" s="625"/>
      <c r="H32" s="625"/>
      <c r="I32" s="640"/>
      <c r="J32" s="59" t="str">
        <f>IF(AND('R. Seguridad de la Información'!$AE$45="Media",'R. Seguridad de la Información'!$AG$45="Leve"),CONCATENATE("R7C",'R. Seguridad de la Información'!$U$45),"")</f>
        <v/>
      </c>
      <c r="K32" s="60" t="str">
        <f>IF(AND('R. Seguridad de la Información'!$AE$46="Media",'R. Seguridad de la Información'!$AG$46="Leve"),CONCATENATE("R7C",'R. Seguridad de la Información'!$U$46),"")</f>
        <v/>
      </c>
      <c r="L32" s="60" t="str">
        <f>IF(AND('R. Seguridad de la Información'!$AE$47="Media",'R. Seguridad de la Información'!$AG$47="Leve"),CONCATENATE("R7C",'R. Seguridad de la Información'!$U$47),"")</f>
        <v/>
      </c>
      <c r="M32" s="60" t="str">
        <f>IF(AND('R. Seguridad de la Información'!$AE$48="Media",'R. Seguridad de la Información'!$AG$48="Leve"),CONCATENATE("R7C",'R. Seguridad de la Información'!$U$48),"")</f>
        <v/>
      </c>
      <c r="N32" s="60" t="str">
        <f>IF(AND('R. Seguridad de la Información'!$AE$49="Media",'R. Seguridad de la Información'!$AG$49="Leve"),CONCATENATE("R7C",'R. Seguridad de la Información'!$U$49),"")</f>
        <v/>
      </c>
      <c r="O32" s="61" t="str">
        <f>IF(AND('R. Seguridad de la Información'!$AE$50="Media",'R. Seguridad de la Información'!$AG$50="Leve"),CONCATENATE("R7C",'R. Seguridad de la Información'!$U$50),"")</f>
        <v/>
      </c>
      <c r="P32" s="59" t="str">
        <f>IF(AND('R. Seguridad de la Información'!$AE$45="Media",'R. Seguridad de la Información'!$AG$45="Menor"),CONCATENATE("R7C",'R. Seguridad de la Información'!$U$45),"")</f>
        <v/>
      </c>
      <c r="Q32" s="60" t="str">
        <f>IF(AND('R. Seguridad de la Información'!$AE$46="Media",'R. Seguridad de la Información'!$AG$46="Menor"),CONCATENATE("R7C",'R. Seguridad de la Información'!$U$46),"")</f>
        <v/>
      </c>
      <c r="R32" s="60" t="str">
        <f>IF(AND('R. Seguridad de la Información'!$AE$47="Media",'R. Seguridad de la Información'!$AG$47="Menor"),CONCATENATE("R7C",'R. Seguridad de la Información'!$U$47),"")</f>
        <v/>
      </c>
      <c r="S32" s="60" t="str">
        <f>IF(AND('R. Seguridad de la Información'!$AE$48="Media",'R. Seguridad de la Información'!$AG$48="Menor"),CONCATENATE("R7C",'R. Seguridad de la Información'!$U$48),"")</f>
        <v/>
      </c>
      <c r="T32" s="60" t="str">
        <f>IF(AND('R. Seguridad de la Información'!$AE$49="Media",'R. Seguridad de la Información'!$AG$49="Menor"),CONCATENATE("R7C",'R. Seguridad de la Información'!$U$49),"")</f>
        <v/>
      </c>
      <c r="U32" s="61" t="str">
        <f>IF(AND('R. Seguridad de la Información'!$AE$50="Media",'R. Seguridad de la Información'!$AG$50="Menor"),CONCATENATE("R7C",'R. Seguridad de la Información'!$U$50),"")</f>
        <v/>
      </c>
      <c r="V32" s="59" t="str">
        <f>IF(AND('R. Seguridad de la Información'!$AE$45="Media",'R. Seguridad de la Información'!$AG$45="Moderado"),CONCATENATE("R7C",'R. Seguridad de la Información'!$U$45),"")</f>
        <v/>
      </c>
      <c r="W32" s="60" t="str">
        <f>IF(AND('R. Seguridad de la Información'!$AE$46="Media",'R. Seguridad de la Información'!$AG$46="Moderado"),CONCATENATE("R7C",'R. Seguridad de la Información'!$U$46),"")</f>
        <v/>
      </c>
      <c r="X32" s="60" t="str">
        <f>IF(AND('R. Seguridad de la Información'!$AE$47="Media",'R. Seguridad de la Información'!$AG$47="Moderado"),CONCATENATE("R7C",'R. Seguridad de la Información'!$U$47),"")</f>
        <v/>
      </c>
      <c r="Y32" s="60" t="str">
        <f>IF(AND('R. Seguridad de la Información'!$AE$48="Media",'R. Seguridad de la Información'!$AG$48="Moderado"),CONCATENATE("R7C",'R. Seguridad de la Información'!$U$48),"")</f>
        <v/>
      </c>
      <c r="Z32" s="60" t="str">
        <f>IF(AND('R. Seguridad de la Información'!$AE$49="Media",'R. Seguridad de la Información'!$AG$49="Moderado"),CONCATENATE("R7C",'R. Seguridad de la Información'!$U$49),"")</f>
        <v/>
      </c>
      <c r="AA32" s="61" t="str">
        <f>IF(AND('R. Seguridad de la Información'!$AE$50="Media",'R. Seguridad de la Información'!$AG$50="Moderado"),CONCATENATE("R7C",'R. Seguridad de la Información'!$U$50),"")</f>
        <v/>
      </c>
      <c r="AB32" s="43" t="str">
        <f>IF(AND('R. Seguridad de la Información'!$AE$45="Media",'R. Seguridad de la Información'!$AG$45="Mayor"),CONCATENATE("R7C",'R. Seguridad de la Información'!$U$45),"")</f>
        <v/>
      </c>
      <c r="AC32" s="44" t="str">
        <f>IF(AND('R. Seguridad de la Información'!$AE$46="Media",'R. Seguridad de la Información'!$AG$46="Mayor"),CONCATENATE("R7C",'R. Seguridad de la Información'!$U$46),"")</f>
        <v/>
      </c>
      <c r="AD32" s="49" t="str">
        <f>IF(AND('R. Seguridad de la Información'!$AE$47="Media",'R. Seguridad de la Información'!$AG$47="Mayor"),CONCATENATE("R7C",'R. Seguridad de la Información'!$U$47),"")</f>
        <v/>
      </c>
      <c r="AE32" s="49" t="str">
        <f>IF(AND('R. Seguridad de la Información'!$AE$48="Media",'R. Seguridad de la Información'!$AG$48="Mayor"),CONCATENATE("R7C",'R. Seguridad de la Información'!$U$48),"")</f>
        <v/>
      </c>
      <c r="AF32" s="49" t="str">
        <f>IF(AND('R. Seguridad de la Información'!$AE$49="Media",'R. Seguridad de la Información'!$AG$49="Mayor"),CONCATENATE("R7C",'R. Seguridad de la Información'!$U$49),"")</f>
        <v/>
      </c>
      <c r="AG32" s="45" t="str">
        <f>IF(AND('R. Seguridad de la Información'!$AE$50="Media",'R. Seguridad de la Información'!$AG$50="Mayor"),CONCATENATE("R7C",'R. Seguridad de la Información'!$U$50),"")</f>
        <v/>
      </c>
      <c r="AH32" s="46" t="str">
        <f>IF(AND('R. Seguridad de la Información'!$AE$45="Media",'R. Seguridad de la Información'!$AG$45="Catastrófico"),CONCATENATE("R7C",'R. Seguridad de la Información'!$U$45),"")</f>
        <v/>
      </c>
      <c r="AI32" s="47" t="str">
        <f>IF(AND('R. Seguridad de la Información'!$AE$46="Media",'R. Seguridad de la Información'!$AG$46="Catastrófico"),CONCATENATE("R7C",'R. Seguridad de la Información'!$U$46),"")</f>
        <v/>
      </c>
      <c r="AJ32" s="47" t="str">
        <f>IF(AND('R. Seguridad de la Información'!$AE$47="Media",'R. Seguridad de la Información'!$AG$47="Catastrófico"),CONCATENATE("R7C",'R. Seguridad de la Información'!$U$47),"")</f>
        <v/>
      </c>
      <c r="AK32" s="47" t="str">
        <f>IF(AND('R. Seguridad de la Información'!$AE$48="Media",'R. Seguridad de la Información'!$AG$48="Catastrófico"),CONCATENATE("R7C",'R. Seguridad de la Información'!$U$48),"")</f>
        <v/>
      </c>
      <c r="AL32" s="47" t="str">
        <f>IF(AND('R. Seguridad de la Información'!$AE$49="Media",'R. Seguridad de la Información'!$AG$49="Catastrófico"),CONCATENATE("R7C",'R. Seguridad de la Información'!$U$49),"")</f>
        <v/>
      </c>
      <c r="AM32" s="48" t="str">
        <f>IF(AND('R. Seguridad de la Información'!$AE$50="Media",'R. Seguridad de la Información'!$AG$50="Catastrófico"),CONCATENATE("R7C",'R. Seguridad de la Información'!$U$50),"")</f>
        <v/>
      </c>
      <c r="AN32" s="75"/>
      <c r="AO32" s="654"/>
      <c r="AP32" s="655"/>
      <c r="AQ32" s="655"/>
      <c r="AR32" s="655"/>
      <c r="AS32" s="655"/>
      <c r="AT32" s="656"/>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523"/>
      <c r="C33" s="523"/>
      <c r="D33" s="524"/>
      <c r="E33" s="624"/>
      <c r="F33" s="625"/>
      <c r="G33" s="625"/>
      <c r="H33" s="625"/>
      <c r="I33" s="640"/>
      <c r="J33" s="59" t="str">
        <f>IF(AND('R. Seguridad de la Información'!$AE$51="Media",'R. Seguridad de la Información'!$AG$51="Leve"),CONCATENATE("R8C",'R. Seguridad de la Información'!$U$51),"")</f>
        <v/>
      </c>
      <c r="K33" s="60" t="str">
        <f>IF(AND('R. Seguridad de la Información'!$AE$52="Media",'R. Seguridad de la Información'!$AG$52="Leve"),CONCATENATE("R8C",'R. Seguridad de la Información'!$U$52),"")</f>
        <v/>
      </c>
      <c r="L33" s="60" t="str">
        <f>IF(AND('R. Seguridad de la Información'!$AE$53="Media",'R. Seguridad de la Información'!$AG$53="Leve"),CONCATENATE("R8C",'R. Seguridad de la Información'!$U$53),"")</f>
        <v/>
      </c>
      <c r="M33" s="60" t="str">
        <f>IF(AND('R. Seguridad de la Información'!$AE$54="Media",'R. Seguridad de la Información'!$AG$54="Leve"),CONCATENATE("R8C",'R. Seguridad de la Información'!$U$54),"")</f>
        <v/>
      </c>
      <c r="N33" s="60" t="str">
        <f>IF(AND('R. Seguridad de la Información'!$AE$55="Media",'R. Seguridad de la Información'!$AG$55="Leve"),CONCATENATE("R8C",'R. Seguridad de la Información'!$U$55),"")</f>
        <v/>
      </c>
      <c r="O33" s="61" t="str">
        <f>IF(AND('R. Seguridad de la Información'!$AE$56="Media",'R. Seguridad de la Información'!$AG$56="Leve"),CONCATENATE("R8C",'R. Seguridad de la Información'!$U$56),"")</f>
        <v/>
      </c>
      <c r="P33" s="59" t="str">
        <f>IF(AND('R. Seguridad de la Información'!$AE$51="Media",'R. Seguridad de la Información'!$AG$51="Menor"),CONCATENATE("R8C",'R. Seguridad de la Información'!$U$51),"")</f>
        <v/>
      </c>
      <c r="Q33" s="60" t="str">
        <f>IF(AND('R. Seguridad de la Información'!$AE$52="Media",'R. Seguridad de la Información'!$AG$52="Menor"),CONCATENATE("R8C",'R. Seguridad de la Información'!$U$52),"")</f>
        <v/>
      </c>
      <c r="R33" s="60" t="str">
        <f>IF(AND('R. Seguridad de la Información'!$AE$53="Media",'R. Seguridad de la Información'!$AG$53="Menor"),CONCATENATE("R8C",'R. Seguridad de la Información'!$U$53),"")</f>
        <v/>
      </c>
      <c r="S33" s="60" t="str">
        <f>IF(AND('R. Seguridad de la Información'!$AE$54="Media",'R. Seguridad de la Información'!$AG$54="Menor"),CONCATENATE("R8C",'R. Seguridad de la Información'!$U$54),"")</f>
        <v/>
      </c>
      <c r="T33" s="60" t="str">
        <f>IF(AND('R. Seguridad de la Información'!$AE$55="Media",'R. Seguridad de la Información'!$AG$55="Menor"),CONCATENATE("R8C",'R. Seguridad de la Información'!$U$55),"")</f>
        <v/>
      </c>
      <c r="U33" s="61" t="str">
        <f>IF(AND('R. Seguridad de la Información'!$AE$56="Media",'R. Seguridad de la Información'!$AG$56="Menor"),CONCATENATE("R8C",'R. Seguridad de la Información'!$U$56),"")</f>
        <v/>
      </c>
      <c r="V33" s="59" t="str">
        <f>IF(AND('R. Seguridad de la Información'!$AE$51="Media",'R. Seguridad de la Información'!$AG$51="Moderado"),CONCATENATE("R8C",'R. Seguridad de la Información'!$U$51),"")</f>
        <v/>
      </c>
      <c r="W33" s="60" t="str">
        <f>IF(AND('R. Seguridad de la Información'!$AE$52="Media",'R. Seguridad de la Información'!$AG$52="Moderado"),CONCATENATE("R8C",'R. Seguridad de la Información'!$U$52),"")</f>
        <v/>
      </c>
      <c r="X33" s="60" t="str">
        <f>IF(AND('R. Seguridad de la Información'!$AE$53="Media",'R. Seguridad de la Información'!$AG$53="Moderado"),CONCATENATE("R8C",'R. Seguridad de la Información'!$U$53),"")</f>
        <v/>
      </c>
      <c r="Y33" s="60" t="str">
        <f>IF(AND('R. Seguridad de la Información'!$AE$54="Media",'R. Seguridad de la Información'!$AG$54="Moderado"),CONCATENATE("R8C",'R. Seguridad de la Información'!$U$54),"")</f>
        <v/>
      </c>
      <c r="Z33" s="60" t="str">
        <f>IF(AND('R. Seguridad de la Información'!$AE$55="Media",'R. Seguridad de la Información'!$AG$55="Moderado"),CONCATENATE("R8C",'R. Seguridad de la Información'!$U$55),"")</f>
        <v/>
      </c>
      <c r="AA33" s="61" t="str">
        <f>IF(AND('R. Seguridad de la Información'!$AE$56="Media",'R. Seguridad de la Información'!$AG$56="Moderado"),CONCATENATE("R8C",'R. Seguridad de la Información'!$U$56),"")</f>
        <v/>
      </c>
      <c r="AB33" s="43" t="str">
        <f>IF(AND('R. Seguridad de la Información'!$AE$51="Media",'R. Seguridad de la Información'!$AG$51="Mayor"),CONCATENATE("R8C",'R. Seguridad de la Información'!$U$51),"")</f>
        <v/>
      </c>
      <c r="AC33" s="44" t="str">
        <f>IF(AND('R. Seguridad de la Información'!$AE$52="Media",'R. Seguridad de la Información'!$AG$52="Mayor"),CONCATENATE("R8C",'R. Seguridad de la Información'!$U$52),"")</f>
        <v/>
      </c>
      <c r="AD33" s="49" t="str">
        <f>IF(AND('R. Seguridad de la Información'!$AE$53="Media",'R. Seguridad de la Información'!$AG$53="Mayor"),CONCATENATE("R8C",'R. Seguridad de la Información'!$U$53),"")</f>
        <v/>
      </c>
      <c r="AE33" s="49" t="str">
        <f>IF(AND('R. Seguridad de la Información'!$AE$54="Media",'R. Seguridad de la Información'!$AG$54="Mayor"),CONCATENATE("R8C",'R. Seguridad de la Información'!$U$54),"")</f>
        <v/>
      </c>
      <c r="AF33" s="49" t="str">
        <f>IF(AND('R. Seguridad de la Información'!$AE$55="Media",'R. Seguridad de la Información'!$AG$55="Mayor"),CONCATENATE("R8C",'R. Seguridad de la Información'!$U$55),"")</f>
        <v/>
      </c>
      <c r="AG33" s="45" t="str">
        <f>IF(AND('R. Seguridad de la Información'!$AE$56="Media",'R. Seguridad de la Información'!$AG$56="Mayor"),CONCATENATE("R8C",'R. Seguridad de la Información'!$U$56),"")</f>
        <v/>
      </c>
      <c r="AH33" s="46" t="str">
        <f>IF(AND('R. Seguridad de la Información'!$AE$51="Media",'R. Seguridad de la Información'!$AG$51="Catastrófico"),CONCATENATE("R8C",'R. Seguridad de la Información'!$U$51),"")</f>
        <v/>
      </c>
      <c r="AI33" s="47" t="str">
        <f>IF(AND('R. Seguridad de la Información'!$AE$52="Media",'R. Seguridad de la Información'!$AG$52="Catastrófico"),CONCATENATE("R8C",'R. Seguridad de la Información'!$U$52),"")</f>
        <v/>
      </c>
      <c r="AJ33" s="47" t="str">
        <f>IF(AND('R. Seguridad de la Información'!$AE$53="Media",'R. Seguridad de la Información'!$AG$53="Catastrófico"),CONCATENATE("R8C",'R. Seguridad de la Información'!$U$53),"")</f>
        <v/>
      </c>
      <c r="AK33" s="47" t="str">
        <f>IF(AND('R. Seguridad de la Información'!$AE$54="Media",'R. Seguridad de la Información'!$AG$54="Catastrófico"),CONCATENATE("R8C",'R. Seguridad de la Información'!$U$54),"")</f>
        <v/>
      </c>
      <c r="AL33" s="47" t="str">
        <f>IF(AND('R. Seguridad de la Información'!$AE$55="Media",'R. Seguridad de la Información'!$AG$55="Catastrófico"),CONCATENATE("R8C",'R. Seguridad de la Información'!$U$55),"")</f>
        <v/>
      </c>
      <c r="AM33" s="48" t="str">
        <f>IF(AND('R. Seguridad de la Información'!$AE$56="Media",'R. Seguridad de la Información'!$AG$56="Catastrófico"),CONCATENATE("R8C",'R. Seguridad de la Información'!$U$56),"")</f>
        <v/>
      </c>
      <c r="AN33" s="75"/>
      <c r="AO33" s="654"/>
      <c r="AP33" s="655"/>
      <c r="AQ33" s="655"/>
      <c r="AR33" s="655"/>
      <c r="AS33" s="655"/>
      <c r="AT33" s="656"/>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523"/>
      <c r="C34" s="523"/>
      <c r="D34" s="524"/>
      <c r="E34" s="624"/>
      <c r="F34" s="625"/>
      <c r="G34" s="625"/>
      <c r="H34" s="625"/>
      <c r="I34" s="640"/>
      <c r="J34" s="59" t="str">
        <f>IF(AND('R. Seguridad de la Información'!$AE$57="Media",'R. Seguridad de la Información'!$AG$57="Leve"),CONCATENATE("R9C",'R. Seguridad de la Información'!$U$57),"")</f>
        <v/>
      </c>
      <c r="K34" s="60" t="str">
        <f>IF(AND('R. Seguridad de la Información'!$AE$58="Media",'R. Seguridad de la Información'!$AG$58="Leve"),CONCATENATE("R9C",'R. Seguridad de la Información'!$U$58),"")</f>
        <v/>
      </c>
      <c r="L34" s="60" t="str">
        <f>IF(AND('R. Seguridad de la Información'!$AE$59="Media",'R. Seguridad de la Información'!$AG$59="Leve"),CONCATENATE("R9C",'R. Seguridad de la Información'!$U$59),"")</f>
        <v/>
      </c>
      <c r="M34" s="60" t="str">
        <f>IF(AND('R. Seguridad de la Información'!$AE$60="Media",'R. Seguridad de la Información'!$AG$60="Leve"),CONCATENATE("R9C",'R. Seguridad de la Información'!$U$60),"")</f>
        <v/>
      </c>
      <c r="N34" s="60" t="str">
        <f>IF(AND('R. Seguridad de la Información'!$AE$61="Media",'R. Seguridad de la Información'!$AG$61="Leve"),CONCATENATE("R9C",'R. Seguridad de la Información'!$U$61),"")</f>
        <v/>
      </c>
      <c r="O34" s="61" t="str">
        <f>IF(AND('R. Seguridad de la Información'!$AE$62="Media",'R. Seguridad de la Información'!$AG$62="Leve"),CONCATENATE("R9C",'R. Seguridad de la Información'!$U$62),"")</f>
        <v/>
      </c>
      <c r="P34" s="59" t="str">
        <f>IF(AND('R. Seguridad de la Información'!$AE$57="Media",'R. Seguridad de la Información'!$AG$57="Menor"),CONCATENATE("R9C",'R. Seguridad de la Información'!$U$57),"")</f>
        <v/>
      </c>
      <c r="Q34" s="60" t="str">
        <f>IF(AND('R. Seguridad de la Información'!$AE$58="Media",'R. Seguridad de la Información'!$AG$58="Menor"),CONCATENATE("R9C",'R. Seguridad de la Información'!$U$58),"")</f>
        <v/>
      </c>
      <c r="R34" s="60" t="str">
        <f>IF(AND('R. Seguridad de la Información'!$AE$59="Media",'R. Seguridad de la Información'!$AG$59="Menor"),CONCATENATE("R9C",'R. Seguridad de la Información'!$U$59),"")</f>
        <v/>
      </c>
      <c r="S34" s="60" t="str">
        <f>IF(AND('R. Seguridad de la Información'!$AE$60="Media",'R. Seguridad de la Información'!$AG$60="Menor"),CONCATENATE("R9C",'R. Seguridad de la Información'!$U$60),"")</f>
        <v/>
      </c>
      <c r="T34" s="60" t="str">
        <f>IF(AND('R. Seguridad de la Información'!$AE$61="Media",'R. Seguridad de la Información'!$AG$61="Menor"),CONCATENATE("R9C",'R. Seguridad de la Información'!$U$61),"")</f>
        <v/>
      </c>
      <c r="U34" s="61" t="str">
        <f>IF(AND('R. Seguridad de la Información'!$AE$62="Media",'R. Seguridad de la Información'!$AG$62="Menor"),CONCATENATE("R9C",'R. Seguridad de la Información'!$U$62),"")</f>
        <v/>
      </c>
      <c r="V34" s="59" t="str">
        <f>IF(AND('R. Seguridad de la Información'!$AE$57="Media",'R. Seguridad de la Información'!$AG$57="Moderado"),CONCATENATE("R9C",'R. Seguridad de la Información'!$U$57),"")</f>
        <v/>
      </c>
      <c r="W34" s="60" t="str">
        <f>IF(AND('R. Seguridad de la Información'!$AE$58="Media",'R. Seguridad de la Información'!$AG$58="Moderado"),CONCATENATE("R9C",'R. Seguridad de la Información'!$U$58),"")</f>
        <v/>
      </c>
      <c r="X34" s="60" t="str">
        <f>IF(AND('R. Seguridad de la Información'!$AE$59="Media",'R. Seguridad de la Información'!$AG$59="Moderado"),CONCATENATE("R9C",'R. Seguridad de la Información'!$U$59),"")</f>
        <v/>
      </c>
      <c r="Y34" s="60" t="str">
        <f>IF(AND('R. Seguridad de la Información'!$AE$60="Media",'R. Seguridad de la Información'!$AG$60="Moderado"),CONCATENATE("R9C",'R. Seguridad de la Información'!$U$60),"")</f>
        <v/>
      </c>
      <c r="Z34" s="60" t="str">
        <f>IF(AND('R. Seguridad de la Información'!$AE$61="Media",'R. Seguridad de la Información'!$AG$61="Moderado"),CONCATENATE("R9C",'R. Seguridad de la Información'!$U$61),"")</f>
        <v/>
      </c>
      <c r="AA34" s="61" t="str">
        <f>IF(AND('R. Seguridad de la Información'!$AE$62="Media",'R. Seguridad de la Información'!$AG$62="Moderado"),CONCATENATE("R9C",'R. Seguridad de la Información'!$U$62),"")</f>
        <v/>
      </c>
      <c r="AB34" s="43" t="str">
        <f>IF(AND('R. Seguridad de la Información'!$AE$57="Media",'R. Seguridad de la Información'!$AG$57="Mayor"),CONCATENATE("R9C",'R. Seguridad de la Información'!$U$57),"")</f>
        <v/>
      </c>
      <c r="AC34" s="44" t="str">
        <f>IF(AND('R. Seguridad de la Información'!$AE$58="Media",'R. Seguridad de la Información'!$AG$58="Mayor"),CONCATENATE("R9C",'R. Seguridad de la Información'!$U$58),"")</f>
        <v/>
      </c>
      <c r="AD34" s="49" t="str">
        <f>IF(AND('R. Seguridad de la Información'!$AE$59="Media",'R. Seguridad de la Información'!$AG$59="Mayor"),CONCATENATE("R9C",'R. Seguridad de la Información'!$U$59),"")</f>
        <v/>
      </c>
      <c r="AE34" s="49" t="str">
        <f>IF(AND('R. Seguridad de la Información'!$AE$60="Media",'R. Seguridad de la Información'!$AG$60="Mayor"),CONCATENATE("R9C",'R. Seguridad de la Información'!$U$60),"")</f>
        <v/>
      </c>
      <c r="AF34" s="49" t="str">
        <f>IF(AND('R. Seguridad de la Información'!$AE$61="Media",'R. Seguridad de la Información'!$AG$61="Mayor"),CONCATENATE("R9C",'R. Seguridad de la Información'!$U$61),"")</f>
        <v/>
      </c>
      <c r="AG34" s="45" t="str">
        <f>IF(AND('R. Seguridad de la Información'!$AE$62="Media",'R. Seguridad de la Información'!$AG$62="Mayor"),CONCATENATE("R9C",'R. Seguridad de la Información'!$U$62),"")</f>
        <v/>
      </c>
      <c r="AH34" s="46" t="str">
        <f>IF(AND('R. Seguridad de la Información'!$AE$57="Media",'R. Seguridad de la Información'!$AG$57="Catastrófico"),CONCATENATE("R9C",'R. Seguridad de la Información'!$U$57),"")</f>
        <v/>
      </c>
      <c r="AI34" s="47" t="str">
        <f>IF(AND('R. Seguridad de la Información'!$AE$58="Media",'R. Seguridad de la Información'!$AG$58="Catastrófico"),CONCATENATE("R9C",'R. Seguridad de la Información'!$U$58),"")</f>
        <v/>
      </c>
      <c r="AJ34" s="47" t="str">
        <f>IF(AND('R. Seguridad de la Información'!$AE$59="Media",'R. Seguridad de la Información'!$AG$59="Catastrófico"),CONCATENATE("R9C",'R. Seguridad de la Información'!$U$59),"")</f>
        <v/>
      </c>
      <c r="AK34" s="47" t="str">
        <f>IF(AND('R. Seguridad de la Información'!$AE$60="Media",'R. Seguridad de la Información'!$AG$60="Catastrófico"),CONCATENATE("R9C",'R. Seguridad de la Información'!$U$60),"")</f>
        <v/>
      </c>
      <c r="AL34" s="47" t="str">
        <f>IF(AND('R. Seguridad de la Información'!$AE$61="Media",'R. Seguridad de la Información'!$AG$61="Catastrófico"),CONCATENATE("R9C",'R. Seguridad de la Información'!$U$61),"")</f>
        <v/>
      </c>
      <c r="AM34" s="48" t="str">
        <f>IF(AND('R. Seguridad de la Información'!$AE$62="Media",'R. Seguridad de la Información'!$AG$62="Catastrófico"),CONCATENATE("R9C",'R. Seguridad de la Información'!$U$62),"")</f>
        <v/>
      </c>
      <c r="AN34" s="75"/>
      <c r="AO34" s="654"/>
      <c r="AP34" s="655"/>
      <c r="AQ34" s="655"/>
      <c r="AR34" s="655"/>
      <c r="AS34" s="655"/>
      <c r="AT34" s="656"/>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523"/>
      <c r="C35" s="523"/>
      <c r="D35" s="524"/>
      <c r="E35" s="626"/>
      <c r="F35" s="627"/>
      <c r="G35" s="627"/>
      <c r="H35" s="627"/>
      <c r="I35" s="641"/>
      <c r="J35" s="59" t="str">
        <f>IF(AND('R. Seguridad de la Información'!$AE$63="Media",'R. Seguridad de la Información'!$AG$63="Leve"),CONCATENATE("R10C",'R. Seguridad de la Información'!$U$63),"")</f>
        <v/>
      </c>
      <c r="K35" s="60" t="str">
        <f>IF(AND('R. Seguridad de la Información'!$AE$64="Media",'R. Seguridad de la Información'!$AG$64="Leve"),CONCATENATE("R10C",'R. Seguridad de la Información'!$U$64),"")</f>
        <v/>
      </c>
      <c r="L35" s="60" t="str">
        <f>IF(AND('R. Seguridad de la Información'!$AE$65="Media",'R. Seguridad de la Información'!$AG$65="Leve"),CONCATENATE("R10C",'R. Seguridad de la Información'!$U$65),"")</f>
        <v/>
      </c>
      <c r="M35" s="60" t="str">
        <f>IF(AND('R. Seguridad de la Información'!$AE$66="Media",'R. Seguridad de la Información'!$AG$66="Leve"),CONCATENATE("R10C",'R. Seguridad de la Información'!$U$66),"")</f>
        <v/>
      </c>
      <c r="N35" s="60" t="str">
        <f>IF(AND('R. Seguridad de la Información'!$AE$67="Media",'R. Seguridad de la Información'!$AG$67="Leve"),CONCATENATE("R10C",'R. Seguridad de la Información'!$U$67),"")</f>
        <v/>
      </c>
      <c r="O35" s="61" t="str">
        <f>IF(AND('R. Seguridad de la Información'!$AE$68="Media",'R. Seguridad de la Información'!$AG$68="Leve"),CONCATENATE("R10C",'R. Seguridad de la Información'!$U$68),"")</f>
        <v/>
      </c>
      <c r="P35" s="59" t="str">
        <f>IF(AND('R. Seguridad de la Información'!$AE$63="Media",'R. Seguridad de la Información'!$AG$63="Menor"),CONCATENATE("R10C",'R. Seguridad de la Información'!$U$63),"")</f>
        <v/>
      </c>
      <c r="Q35" s="60" t="str">
        <f>IF(AND('R. Seguridad de la Información'!$AE$64="Media",'R. Seguridad de la Información'!$AG$64="Menor"),CONCATENATE("R10C",'R. Seguridad de la Información'!$U$64),"")</f>
        <v/>
      </c>
      <c r="R35" s="60" t="str">
        <f>IF(AND('R. Seguridad de la Información'!$AE$65="Media",'R. Seguridad de la Información'!$AG$65="Menor"),CONCATENATE("R10C",'R. Seguridad de la Información'!$U$65),"")</f>
        <v/>
      </c>
      <c r="S35" s="60" t="str">
        <f>IF(AND('R. Seguridad de la Información'!$AE$66="Media",'R. Seguridad de la Información'!$AG$66="Menor"),CONCATENATE("R10C",'R. Seguridad de la Información'!$U$66),"")</f>
        <v/>
      </c>
      <c r="T35" s="60" t="str">
        <f>IF(AND('R. Seguridad de la Información'!$AE$67="Media",'R. Seguridad de la Información'!$AG$67="Menor"),CONCATENATE("R10C",'R. Seguridad de la Información'!$U$67),"")</f>
        <v/>
      </c>
      <c r="U35" s="61" t="str">
        <f>IF(AND('R. Seguridad de la Información'!$AE$68="Media",'R. Seguridad de la Información'!$AG$68="Menor"),CONCATENATE("R10C",'R. Seguridad de la Información'!$U$68),"")</f>
        <v/>
      </c>
      <c r="V35" s="59" t="str">
        <f>IF(AND('R. Seguridad de la Información'!$AE$63="Media",'R. Seguridad de la Información'!$AG$63="Moderado"),CONCATENATE("R10C",'R. Seguridad de la Información'!$U$63),"")</f>
        <v/>
      </c>
      <c r="W35" s="60" t="str">
        <f>IF(AND('R. Seguridad de la Información'!$AE$64="Media",'R. Seguridad de la Información'!$AG$64="Moderado"),CONCATENATE("R10C",'R. Seguridad de la Información'!$U$64),"")</f>
        <v/>
      </c>
      <c r="X35" s="60" t="str">
        <f>IF(AND('R. Seguridad de la Información'!$AE$65="Media",'R. Seguridad de la Información'!$AG$65="Moderado"),CONCATENATE("R10C",'R. Seguridad de la Información'!$U$65),"")</f>
        <v/>
      </c>
      <c r="Y35" s="60" t="str">
        <f>IF(AND('R. Seguridad de la Información'!$AE$66="Media",'R. Seguridad de la Información'!$AG$66="Moderado"),CONCATENATE("R10C",'R. Seguridad de la Información'!$U$66),"")</f>
        <v/>
      </c>
      <c r="Z35" s="60" t="str">
        <f>IF(AND('R. Seguridad de la Información'!$AE$67="Media",'R. Seguridad de la Información'!$AG$67="Moderado"),CONCATENATE("R10C",'R. Seguridad de la Información'!$U$67),"")</f>
        <v/>
      </c>
      <c r="AA35" s="61" t="str">
        <f>IF(AND('R. Seguridad de la Información'!$AE$68="Media",'R. Seguridad de la Información'!$AG$68="Moderado"),CONCATENATE("R10C",'R. Seguridad de la Información'!$U$68),"")</f>
        <v/>
      </c>
      <c r="AB35" s="50" t="str">
        <f>IF(AND('R. Seguridad de la Información'!$AE$63="Media",'R. Seguridad de la Información'!$AG$63="Mayor"),CONCATENATE("R10C",'R. Seguridad de la Información'!$U$63),"")</f>
        <v/>
      </c>
      <c r="AC35" s="51" t="str">
        <f>IF(AND('R. Seguridad de la Información'!$AE$64="Media",'R. Seguridad de la Información'!$AG$64="Mayor"),CONCATENATE("R10C",'R. Seguridad de la Información'!$U$64),"")</f>
        <v/>
      </c>
      <c r="AD35" s="51" t="str">
        <f>IF(AND('R. Seguridad de la Información'!$AE$65="Media",'R. Seguridad de la Información'!$AG$65="Mayor"),CONCATENATE("R10C",'R. Seguridad de la Información'!$U$65),"")</f>
        <v/>
      </c>
      <c r="AE35" s="51" t="str">
        <f>IF(AND('R. Seguridad de la Información'!$AE$66="Media",'R. Seguridad de la Información'!$AG$66="Mayor"),CONCATENATE("R10C",'R. Seguridad de la Información'!$U$66),"")</f>
        <v/>
      </c>
      <c r="AF35" s="51" t="str">
        <f>IF(AND('R. Seguridad de la Información'!$AE$67="Media",'R. Seguridad de la Información'!$AG$67="Mayor"),CONCATENATE("R10C",'R. Seguridad de la Información'!$U$67),"")</f>
        <v/>
      </c>
      <c r="AG35" s="52" t="str">
        <f>IF(AND('R. Seguridad de la Información'!$AE$68="Media",'R. Seguridad de la Información'!$AG$68="Mayor"),CONCATENATE("R10C",'R. Seguridad de la Información'!$U$68),"")</f>
        <v/>
      </c>
      <c r="AH35" s="53" t="str">
        <f>IF(AND('R. Seguridad de la Información'!$AE$63="Media",'R. Seguridad de la Información'!$AG$63="Catastrófico"),CONCATENATE("R10C",'R. Seguridad de la Información'!$U$63),"")</f>
        <v/>
      </c>
      <c r="AI35" s="54" t="str">
        <f>IF(AND('R. Seguridad de la Información'!$AE$64="Media",'R. Seguridad de la Información'!$AG$64="Catastrófico"),CONCATENATE("R10C",'R. Seguridad de la Información'!$U$64),"")</f>
        <v/>
      </c>
      <c r="AJ35" s="54" t="str">
        <f>IF(AND('R. Seguridad de la Información'!$AE$65="Media",'R. Seguridad de la Información'!$AG$65="Catastrófico"),CONCATENATE("R10C",'R. Seguridad de la Información'!$U$65),"")</f>
        <v/>
      </c>
      <c r="AK35" s="54" t="str">
        <f>IF(AND('R. Seguridad de la Información'!$AE$66="Media",'R. Seguridad de la Información'!$AG$66="Catastrófico"),CONCATENATE("R10C",'R. Seguridad de la Información'!$U$66),"")</f>
        <v/>
      </c>
      <c r="AL35" s="54" t="str">
        <f>IF(AND('R. Seguridad de la Información'!$AE$67="Media",'R. Seguridad de la Información'!$AG$67="Catastrófico"),CONCATENATE("R10C",'R. Seguridad de la Información'!$U$67),"")</f>
        <v/>
      </c>
      <c r="AM35" s="55" t="str">
        <f>IF(AND('R. Seguridad de la Información'!$AE$68="Media",'R. Seguridad de la Información'!$AG$68="Catastrófico"),CONCATENATE("R10C",'R. Seguridad de la Información'!$U$68),"")</f>
        <v/>
      </c>
      <c r="AN35" s="75"/>
      <c r="AO35" s="657"/>
      <c r="AP35" s="658"/>
      <c r="AQ35" s="658"/>
      <c r="AR35" s="658"/>
      <c r="AS35" s="658"/>
      <c r="AT35" s="659"/>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523"/>
      <c r="C36" s="523"/>
      <c r="D36" s="524"/>
      <c r="E36" s="620" t="s">
        <v>103</v>
      </c>
      <c r="F36" s="621"/>
      <c r="G36" s="621"/>
      <c r="H36" s="621"/>
      <c r="I36" s="621"/>
      <c r="J36" s="65" t="str">
        <f>IF(AND('R. Seguridad de la Información'!$AE$9="Baja",'R. Seguridad de la Información'!$AG$9="Leve"),CONCATENATE("R1C",'R. Seguridad de la Información'!$U$9),"")</f>
        <v/>
      </c>
      <c r="K36" s="66" t="str">
        <f>IF(AND('R. Seguridad de la Información'!$AE$10="Baja",'R. Seguridad de la Información'!$AG$10="Leve"),CONCATENATE("R1C",'R. Seguridad de la Información'!$U$10),"")</f>
        <v/>
      </c>
      <c r="L36" s="66" t="str">
        <f>IF(AND('R. Seguridad de la Información'!$AE$11="Baja",'R. Seguridad de la Información'!$AG$11="Leve"),CONCATENATE("R1C",'R. Seguridad de la Información'!$U$11),"")</f>
        <v/>
      </c>
      <c r="M36" s="66" t="str">
        <f>IF(AND('R. Seguridad de la Información'!$AE$12="Baja",'R. Seguridad de la Información'!$AG$12="Leve"),CONCATENATE("R1C",'R. Seguridad de la Información'!$U$12),"")</f>
        <v/>
      </c>
      <c r="N36" s="66" t="str">
        <f>IF(AND('R. Seguridad de la Información'!$AE$13="Baja",'R. Seguridad de la Información'!$AG$13="Leve"),CONCATENATE("R1C",'R. Seguridad de la Información'!$U$13),"")</f>
        <v/>
      </c>
      <c r="O36" s="67" t="str">
        <f>IF(AND('R. Seguridad de la Información'!$AE$14="Baja",'R. Seguridad de la Información'!$AG$14="Leve"),CONCATENATE("R1C",'R. Seguridad de la Información'!$U$14),"")</f>
        <v/>
      </c>
      <c r="P36" s="56" t="str">
        <f>IF(AND('R. Seguridad de la Información'!$AE$9="Baja",'R. Seguridad de la Información'!$AG$9="Menor"),CONCATENATE("R1C",'R. Seguridad de la Información'!$U$9),"")</f>
        <v/>
      </c>
      <c r="Q36" s="57" t="str">
        <f>IF(AND('R. Seguridad de la Información'!$AE$10="Baja",'R. Seguridad de la Información'!$AG$10="Menor"),CONCATENATE("R1C",'R. Seguridad de la Información'!$U$10),"")</f>
        <v/>
      </c>
      <c r="R36" s="57" t="str">
        <f>IF(AND('R. Seguridad de la Información'!$AE$11="Baja",'R. Seguridad de la Información'!$AG$11="Menor"),CONCATENATE("R1C",'R. Seguridad de la Información'!$U$11),"")</f>
        <v/>
      </c>
      <c r="S36" s="57" t="str">
        <f>IF(AND('R. Seguridad de la Información'!$AE$12="Baja",'R. Seguridad de la Información'!$AG$12="Menor"),CONCATENATE("R1C",'R. Seguridad de la Información'!$U$12),"")</f>
        <v/>
      </c>
      <c r="T36" s="57" t="str">
        <f>IF(AND('R. Seguridad de la Información'!$AE$13="Baja",'R. Seguridad de la Información'!$AG$13="Menor"),CONCATENATE("R1C",'R. Seguridad de la Información'!$U$13),"")</f>
        <v/>
      </c>
      <c r="U36" s="58" t="str">
        <f>IF(AND('R. Seguridad de la Información'!$AE$14="Baja",'R. Seguridad de la Información'!$AG$14="Menor"),CONCATENATE("R1C",'R. Seguridad de la Información'!$U$14),"")</f>
        <v/>
      </c>
      <c r="V36" s="56" t="str">
        <f>IF(AND('R. Seguridad de la Información'!$AE$9="Baja",'R. Seguridad de la Información'!$AG$9="Moderado"),CONCATENATE("R1C",'R. Seguridad de la Información'!$U$9),"")</f>
        <v/>
      </c>
      <c r="W36" s="57" t="str">
        <f>IF(AND('R. Seguridad de la Información'!$AE$10="Baja",'R. Seguridad de la Información'!$AG$10="Moderado"),CONCATENATE("R1C",'R. Seguridad de la Información'!$U$10),"")</f>
        <v/>
      </c>
      <c r="X36" s="57" t="str">
        <f>IF(AND('R. Seguridad de la Información'!$AE$11="Baja",'R. Seguridad de la Información'!$AG$11="Moderado"),CONCATENATE("R1C",'R. Seguridad de la Información'!$U$11),"")</f>
        <v/>
      </c>
      <c r="Y36" s="57" t="str">
        <f>IF(AND('R. Seguridad de la Información'!$AE$12="Baja",'R. Seguridad de la Información'!$AG$12="Moderado"),CONCATENATE("R1C",'R. Seguridad de la Información'!$U$12),"")</f>
        <v/>
      </c>
      <c r="Z36" s="57" t="str">
        <f>IF(AND('R. Seguridad de la Información'!$AE$13="Baja",'R. Seguridad de la Información'!$AG$13="Moderado"),CONCATENATE("R1C",'R. Seguridad de la Información'!$U$13),"")</f>
        <v/>
      </c>
      <c r="AA36" s="58" t="str">
        <f>IF(AND('R. Seguridad de la Información'!$AE$14="Baja",'R. Seguridad de la Información'!$AG$14="Moderado"),CONCATENATE("R1C",'R. Seguridad de la Información'!$U$14),"")</f>
        <v/>
      </c>
      <c r="AB36" s="37" t="str">
        <f>IF(AND('R. Seguridad de la Información'!$AE$9="Baja",'R. Seguridad de la Información'!$AG$9="Mayor"),CONCATENATE("R1C",'R. Seguridad de la Información'!$U$9),"")</f>
        <v/>
      </c>
      <c r="AC36" s="38" t="str">
        <f>IF(AND('R. Seguridad de la Información'!$AE$10="Baja",'R. Seguridad de la Información'!$AG$10="Mayor"),CONCATENATE("R1C",'R. Seguridad de la Información'!$U$10),"")</f>
        <v/>
      </c>
      <c r="AD36" s="38" t="str">
        <f>IF(AND('R. Seguridad de la Información'!$AE$11="Baja",'R. Seguridad de la Información'!$AG$11="Mayor"),CONCATENATE("R1C",'R. Seguridad de la Información'!$U$11),"")</f>
        <v/>
      </c>
      <c r="AE36" s="38" t="str">
        <f>IF(AND('R. Seguridad de la Información'!$AE$12="Baja",'R. Seguridad de la Información'!$AG$12="Mayor"),CONCATENATE("R1C",'R. Seguridad de la Información'!$U$12),"")</f>
        <v/>
      </c>
      <c r="AF36" s="38" t="str">
        <f>IF(AND('R. Seguridad de la Información'!$AE$13="Baja",'R. Seguridad de la Información'!$AG$13="Mayor"),CONCATENATE("R1C",'R. Seguridad de la Información'!$U$13),"")</f>
        <v/>
      </c>
      <c r="AG36" s="39" t="str">
        <f>IF(AND('R. Seguridad de la Información'!$AE$14="Baja",'R. Seguridad de la Información'!$AG$14="Mayor"),CONCATENATE("R1C",'R. Seguridad de la Información'!$U$14),"")</f>
        <v/>
      </c>
      <c r="AH36" s="40" t="str">
        <f>IF(AND('R. Seguridad de la Información'!$AE$9="Baja",'R. Seguridad de la Información'!$AG$9="Catastrófico"),CONCATENATE("R1C",'R. Seguridad de la Información'!$U$9),"")</f>
        <v/>
      </c>
      <c r="AI36" s="41" t="str">
        <f>IF(AND('R. Seguridad de la Información'!$AE$10="Baja",'R. Seguridad de la Información'!$AG$10="Catastrófico"),CONCATENATE("R1C",'R. Seguridad de la Información'!$U$10),"")</f>
        <v/>
      </c>
      <c r="AJ36" s="41" t="str">
        <f>IF(AND('R. Seguridad de la Información'!$AE$11="Baja",'R. Seguridad de la Información'!$AG$11="Catastrófico"),CONCATENATE("R1C",'R. Seguridad de la Información'!$U$11),"")</f>
        <v/>
      </c>
      <c r="AK36" s="41" t="str">
        <f>IF(AND('R. Seguridad de la Información'!$AE$12="Baja",'R. Seguridad de la Información'!$AG$12="Catastrófico"),CONCATENATE("R1C",'R. Seguridad de la Información'!$U$12),"")</f>
        <v/>
      </c>
      <c r="AL36" s="41" t="str">
        <f>IF(AND('R. Seguridad de la Información'!$AE$13="Baja",'R. Seguridad de la Información'!$AG$13="Catastrófico"),CONCATENATE("R1C",'R. Seguridad de la Información'!$U$13),"")</f>
        <v/>
      </c>
      <c r="AM36" s="42" t="str">
        <f>IF(AND('R. Seguridad de la Información'!$AE$14="Baja",'R. Seguridad de la Información'!$AG$14="Catastrófico"),CONCATENATE("R1C",'R. Seguridad de la Información'!$U$14),"")</f>
        <v/>
      </c>
      <c r="AN36" s="75"/>
      <c r="AO36" s="642" t="s">
        <v>72</v>
      </c>
      <c r="AP36" s="643"/>
      <c r="AQ36" s="643"/>
      <c r="AR36" s="643"/>
      <c r="AS36" s="643"/>
      <c r="AT36" s="644"/>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523"/>
      <c r="C37" s="523"/>
      <c r="D37" s="524"/>
      <c r="E37" s="622"/>
      <c r="F37" s="623"/>
      <c r="G37" s="623"/>
      <c r="H37" s="623"/>
      <c r="I37" s="623"/>
      <c r="J37" s="68" t="str">
        <f>IF(AND('R. Seguridad de la Información'!$AE$15="Baja",'R. Seguridad de la Información'!$AG$15="Leve"),CONCATENATE("R2C",'R. Seguridad de la Información'!$U$15),"")</f>
        <v/>
      </c>
      <c r="K37" s="69" t="str">
        <f>IF(AND('R. Seguridad de la Información'!$AE$16="Baja",'R. Seguridad de la Información'!$AG$16="Leve"),CONCATENATE("R2C",'R. Seguridad de la Información'!$U$16),"")</f>
        <v/>
      </c>
      <c r="L37" s="69" t="str">
        <f>IF(AND('R. Seguridad de la Información'!$AE$17="Baja",'R. Seguridad de la Información'!$AG$17="Leve"),CONCATENATE("R2C",'R. Seguridad de la Información'!$U$17),"")</f>
        <v/>
      </c>
      <c r="M37" s="69" t="str">
        <f>IF(AND('R. Seguridad de la Información'!$AE$18="Baja",'R. Seguridad de la Información'!$AG$18="Leve"),CONCATENATE("R2C",'R. Seguridad de la Información'!$U$18),"")</f>
        <v/>
      </c>
      <c r="N37" s="69" t="str">
        <f>IF(AND('R. Seguridad de la Información'!$AE$19="Baja",'R. Seguridad de la Información'!$AG$19="Leve"),CONCATENATE("R2C",'R. Seguridad de la Información'!$U$19),"")</f>
        <v/>
      </c>
      <c r="O37" s="70" t="str">
        <f>IF(AND('R. Seguridad de la Información'!$AE$20="Baja",'R. Seguridad de la Información'!$AG$20="Leve"),CONCATENATE("R2C",'R. Seguridad de la Información'!$U$20),"")</f>
        <v/>
      </c>
      <c r="P37" s="59" t="str">
        <f>IF(AND('R. Seguridad de la Información'!$AE$15="Baja",'R. Seguridad de la Información'!$AG$15="Menor"),CONCATENATE("R2C",'R. Seguridad de la Información'!$U$15),"")</f>
        <v/>
      </c>
      <c r="Q37" s="60" t="str">
        <f>IF(AND('R. Seguridad de la Información'!$AE$16="Baja",'R. Seguridad de la Información'!$AG$16="Menor"),CONCATENATE("R2C",'R. Seguridad de la Información'!$U$16),"")</f>
        <v/>
      </c>
      <c r="R37" s="60" t="str">
        <f>IF(AND('R. Seguridad de la Información'!$AE$17="Baja",'R. Seguridad de la Información'!$AG$17="Menor"),CONCATENATE("R2C",'R. Seguridad de la Información'!$U$17),"")</f>
        <v/>
      </c>
      <c r="S37" s="60" t="str">
        <f>IF(AND('R. Seguridad de la Información'!$AE$18="Baja",'R. Seguridad de la Información'!$AG$18="Menor"),CONCATENATE("R2C",'R. Seguridad de la Información'!$U$18),"")</f>
        <v/>
      </c>
      <c r="T37" s="60" t="str">
        <f>IF(AND('R. Seguridad de la Información'!$AE$19="Baja",'R. Seguridad de la Información'!$AG$19="Menor"),CONCATENATE("R2C",'R. Seguridad de la Información'!$U$19),"")</f>
        <v/>
      </c>
      <c r="U37" s="61" t="str">
        <f>IF(AND('R. Seguridad de la Información'!$AE$20="Baja",'R. Seguridad de la Información'!$AG$20="Menor"),CONCATENATE("R2C",'R. Seguridad de la Información'!$U$20),"")</f>
        <v/>
      </c>
      <c r="V37" s="59" t="str">
        <f>IF(AND('R. Seguridad de la Información'!$AE$15="Baja",'R. Seguridad de la Información'!$AG$15="Moderado"),CONCATENATE("R2C",'R. Seguridad de la Información'!$U$15),"")</f>
        <v/>
      </c>
      <c r="W37" s="60" t="str">
        <f>IF(AND('R. Seguridad de la Información'!$AE$16="Baja",'R. Seguridad de la Información'!$AG$16="Moderado"),CONCATENATE("R2C",'R. Seguridad de la Información'!$U$16),"")</f>
        <v/>
      </c>
      <c r="X37" s="60" t="str">
        <f>IF(AND('R. Seguridad de la Información'!$AE$17="Baja",'R. Seguridad de la Información'!$AG$17="Moderado"),CONCATENATE("R2C",'R. Seguridad de la Información'!$U$17),"")</f>
        <v/>
      </c>
      <c r="Y37" s="60" t="str">
        <f>IF(AND('R. Seguridad de la Información'!$AE$18="Baja",'R. Seguridad de la Información'!$AG$18="Moderado"),CONCATENATE("R2C",'R. Seguridad de la Información'!$U$18),"")</f>
        <v/>
      </c>
      <c r="Z37" s="60" t="str">
        <f>IF(AND('R. Seguridad de la Información'!$AE$19="Baja",'R. Seguridad de la Información'!$AG$19="Moderado"),CONCATENATE("R2C",'R. Seguridad de la Información'!$U$19),"")</f>
        <v/>
      </c>
      <c r="AA37" s="61" t="str">
        <f>IF(AND('R. Seguridad de la Información'!$AE$20="Baja",'R. Seguridad de la Información'!$AG$20="Moderado"),CONCATENATE("R2C",'R. Seguridad de la Información'!$U$20),"")</f>
        <v/>
      </c>
      <c r="AB37" s="43" t="str">
        <f>IF(AND('R. Seguridad de la Información'!$AE$15="Baja",'R. Seguridad de la Información'!$AG$15="Mayor"),CONCATENATE("R2C",'R. Seguridad de la Información'!$U$15),"")</f>
        <v/>
      </c>
      <c r="AC37" s="44" t="str">
        <f>IF(AND('R. Seguridad de la Información'!$AE$16="Baja",'R. Seguridad de la Información'!$AG$16="Mayor"),CONCATENATE("R2C",'R. Seguridad de la Información'!$U$16),"")</f>
        <v/>
      </c>
      <c r="AD37" s="44" t="str">
        <f>IF(AND('R. Seguridad de la Información'!$AE$17="Baja",'R. Seguridad de la Información'!$AG$17="Mayor"),CONCATENATE("R2C",'R. Seguridad de la Información'!$U$17),"")</f>
        <v/>
      </c>
      <c r="AE37" s="44" t="str">
        <f>IF(AND('R. Seguridad de la Información'!$AE$18="Baja",'R. Seguridad de la Información'!$AG$18="Mayor"),CONCATENATE("R2C",'R. Seguridad de la Información'!$U$18),"")</f>
        <v/>
      </c>
      <c r="AF37" s="44" t="str">
        <f>IF(AND('R. Seguridad de la Información'!$AE$19="Baja",'R. Seguridad de la Información'!$AG$19="Mayor"),CONCATENATE("R2C",'R. Seguridad de la Información'!$U$19),"")</f>
        <v/>
      </c>
      <c r="AG37" s="45" t="str">
        <f>IF(AND('R. Seguridad de la Información'!$AE$20="Baja",'R. Seguridad de la Información'!$AG$20="Mayor"),CONCATENATE("R2C",'R. Seguridad de la Información'!$U$20),"")</f>
        <v/>
      </c>
      <c r="AH37" s="46" t="str">
        <f>IF(AND('R. Seguridad de la Información'!$AE$15="Baja",'R. Seguridad de la Información'!$AG$15="Catastrófico"),CONCATENATE("R2C",'R. Seguridad de la Información'!$U$15),"")</f>
        <v/>
      </c>
      <c r="AI37" s="47" t="str">
        <f>IF(AND('R. Seguridad de la Información'!$AE$16="Baja",'R. Seguridad de la Información'!$AG$16="Catastrófico"),CONCATENATE("R2C",'R. Seguridad de la Información'!$U$16),"")</f>
        <v/>
      </c>
      <c r="AJ37" s="47" t="str">
        <f>IF(AND('R. Seguridad de la Información'!$AE$17="Baja",'R. Seguridad de la Información'!$AG$17="Catastrófico"),CONCATENATE("R2C",'R. Seguridad de la Información'!$U$17),"")</f>
        <v/>
      </c>
      <c r="AK37" s="47" t="str">
        <f>IF(AND('R. Seguridad de la Información'!$AE$18="Baja",'R. Seguridad de la Información'!$AG$18="Catastrófico"),CONCATENATE("R2C",'R. Seguridad de la Información'!$U$18),"")</f>
        <v/>
      </c>
      <c r="AL37" s="47" t="str">
        <f>IF(AND('R. Seguridad de la Información'!$AE$19="Baja",'R. Seguridad de la Información'!$AG$19="Catastrófico"),CONCATENATE("R2C",'R. Seguridad de la Información'!$U$19),"")</f>
        <v/>
      </c>
      <c r="AM37" s="48" t="str">
        <f>IF(AND('R. Seguridad de la Información'!$AE$20="Baja",'R. Seguridad de la Información'!$AG$20="Catastrófico"),CONCATENATE("R2C",'R. Seguridad de la Información'!$U$20),"")</f>
        <v/>
      </c>
      <c r="AN37" s="75"/>
      <c r="AO37" s="645"/>
      <c r="AP37" s="646"/>
      <c r="AQ37" s="646"/>
      <c r="AR37" s="646"/>
      <c r="AS37" s="646"/>
      <c r="AT37" s="647"/>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523"/>
      <c r="C38" s="523"/>
      <c r="D38" s="524"/>
      <c r="E38" s="624"/>
      <c r="F38" s="625"/>
      <c r="G38" s="625"/>
      <c r="H38" s="625"/>
      <c r="I38" s="623"/>
      <c r="J38" s="68" t="str">
        <f>IF(AND('R. Seguridad de la Información'!$AE$21="Baja",'R. Seguridad de la Información'!$AG$21="Leve"),CONCATENATE("R3C",'R. Seguridad de la Información'!$U$21),"")</f>
        <v/>
      </c>
      <c r="K38" s="69" t="str">
        <f>IF(AND('R. Seguridad de la Información'!$AE$22="Baja",'R. Seguridad de la Información'!$AG$22="Leve"),CONCATENATE("R3C",'R. Seguridad de la Información'!$U$22),"")</f>
        <v/>
      </c>
      <c r="L38" s="69" t="str">
        <f>IF(AND('R. Seguridad de la Información'!$AE$23="Baja",'R. Seguridad de la Información'!$AG$23="Leve"),CONCATENATE("R3C",'R. Seguridad de la Información'!$U$23),"")</f>
        <v/>
      </c>
      <c r="M38" s="69" t="str">
        <f>IF(AND('R. Seguridad de la Información'!$AE$24="Baja",'R. Seguridad de la Información'!$AG$24="Leve"),CONCATENATE("R3C",'R. Seguridad de la Información'!$U$24),"")</f>
        <v/>
      </c>
      <c r="N38" s="69" t="str">
        <f>IF(AND('R. Seguridad de la Información'!$AE$25="Baja",'R. Seguridad de la Información'!$AG$25="Leve"),CONCATENATE("R3C",'R. Seguridad de la Información'!$U$25),"")</f>
        <v/>
      </c>
      <c r="O38" s="70" t="str">
        <f>IF(AND('R. Seguridad de la Información'!$AE$26="Baja",'R. Seguridad de la Información'!$AG$26="Leve"),CONCATENATE("R3C",'R. Seguridad de la Información'!$U$26),"")</f>
        <v/>
      </c>
      <c r="P38" s="59" t="str">
        <f>IF(AND('R. Seguridad de la Información'!$AE$21="Baja",'R. Seguridad de la Información'!$AG$21="Menor"),CONCATENATE("R3C",'R. Seguridad de la Información'!$U$21),"")</f>
        <v/>
      </c>
      <c r="Q38" s="60" t="str">
        <f>IF(AND('R. Seguridad de la Información'!$AE$22="Baja",'R. Seguridad de la Información'!$AG$22="Menor"),CONCATENATE("R3C",'R. Seguridad de la Información'!$U$22),"")</f>
        <v/>
      </c>
      <c r="R38" s="60" t="str">
        <f>IF(AND('R. Seguridad de la Información'!$AE$23="Baja",'R. Seguridad de la Información'!$AG$23="Menor"),CONCATENATE("R3C",'R. Seguridad de la Información'!$U$23),"")</f>
        <v/>
      </c>
      <c r="S38" s="60" t="str">
        <f>IF(AND('R. Seguridad de la Información'!$AE$24="Baja",'R. Seguridad de la Información'!$AG$24="Menor"),CONCATENATE("R3C",'R. Seguridad de la Información'!$U$24),"")</f>
        <v/>
      </c>
      <c r="T38" s="60" t="str">
        <f>IF(AND('R. Seguridad de la Información'!$AE$25="Baja",'R. Seguridad de la Información'!$AG$25="Menor"),CONCATENATE("R3C",'R. Seguridad de la Información'!$U$25),"")</f>
        <v/>
      </c>
      <c r="U38" s="61" t="str">
        <f>IF(AND('R. Seguridad de la Información'!$AE$26="Baja",'R. Seguridad de la Información'!$AG$26="Menor"),CONCATENATE("R3C",'R. Seguridad de la Información'!$U$26),"")</f>
        <v/>
      </c>
      <c r="V38" s="59" t="str">
        <f>IF(AND('R. Seguridad de la Información'!$AE$21="Baja",'R. Seguridad de la Información'!$AG$21="Moderado"),CONCATENATE("R3C",'R. Seguridad de la Información'!$U$21),"")</f>
        <v/>
      </c>
      <c r="W38" s="60" t="str">
        <f>IF(AND('R. Seguridad de la Información'!$AE$22="Baja",'R. Seguridad de la Información'!$AG$22="Moderado"),CONCATENATE("R3C",'R. Seguridad de la Información'!$U$22),"")</f>
        <v/>
      </c>
      <c r="X38" s="60" t="str">
        <f>IF(AND('R. Seguridad de la Información'!$AE$23="Baja",'R. Seguridad de la Información'!$AG$23="Moderado"),CONCATENATE("R3C",'R. Seguridad de la Información'!$U$23),"")</f>
        <v/>
      </c>
      <c r="Y38" s="60" t="str">
        <f>IF(AND('R. Seguridad de la Información'!$AE$24="Baja",'R. Seguridad de la Información'!$AG$24="Moderado"),CONCATENATE("R3C",'R. Seguridad de la Información'!$U$24),"")</f>
        <v/>
      </c>
      <c r="Z38" s="60" t="str">
        <f>IF(AND('R. Seguridad de la Información'!$AE$25="Baja",'R. Seguridad de la Información'!$AG$25="Moderado"),CONCATENATE("R3C",'R. Seguridad de la Información'!$U$25),"")</f>
        <v/>
      </c>
      <c r="AA38" s="61" t="str">
        <f>IF(AND('R. Seguridad de la Información'!$AE$26="Baja",'R. Seguridad de la Información'!$AG$26="Moderado"),CONCATENATE("R3C",'R. Seguridad de la Información'!$U$26),"")</f>
        <v/>
      </c>
      <c r="AB38" s="43" t="str">
        <f>IF(AND('R. Seguridad de la Información'!$AE$21="Baja",'R. Seguridad de la Información'!$AG$21="Mayor"),CONCATENATE("R3C",'R. Seguridad de la Información'!$U$21),"")</f>
        <v/>
      </c>
      <c r="AC38" s="44" t="str">
        <f>IF(AND('R. Seguridad de la Información'!$AE$22="Baja",'R. Seguridad de la Información'!$AG$22="Mayor"),CONCATENATE("R3C",'R. Seguridad de la Información'!$U$22),"")</f>
        <v/>
      </c>
      <c r="AD38" s="44" t="str">
        <f>IF(AND('R. Seguridad de la Información'!$AE$23="Baja",'R. Seguridad de la Información'!$AG$23="Mayor"),CONCATENATE("R3C",'R. Seguridad de la Información'!$U$23),"")</f>
        <v/>
      </c>
      <c r="AE38" s="44" t="str">
        <f>IF(AND('R. Seguridad de la Información'!$AE$24="Baja",'R. Seguridad de la Información'!$AG$24="Mayor"),CONCATENATE("R3C",'R. Seguridad de la Información'!$U$24),"")</f>
        <v/>
      </c>
      <c r="AF38" s="44" t="str">
        <f>IF(AND('R. Seguridad de la Información'!$AE$25="Baja",'R. Seguridad de la Información'!$AG$25="Mayor"),CONCATENATE("R3C",'R. Seguridad de la Información'!$U$25),"")</f>
        <v/>
      </c>
      <c r="AG38" s="45" t="str">
        <f>IF(AND('R. Seguridad de la Información'!$AE$26="Baja",'R. Seguridad de la Información'!$AG$26="Mayor"),CONCATENATE("R3C",'R. Seguridad de la Información'!$U$26),"")</f>
        <v/>
      </c>
      <c r="AH38" s="46" t="str">
        <f>IF(AND('R. Seguridad de la Información'!$AE$21="Baja",'R. Seguridad de la Información'!$AG$21="Catastrófico"),CONCATENATE("R3C",'R. Seguridad de la Información'!$U$21),"")</f>
        <v/>
      </c>
      <c r="AI38" s="47" t="str">
        <f>IF(AND('R. Seguridad de la Información'!$AE$22="Baja",'R. Seguridad de la Información'!$AG$22="Catastrófico"),CONCATENATE("R3C",'R. Seguridad de la Información'!$U$22),"")</f>
        <v/>
      </c>
      <c r="AJ38" s="47" t="str">
        <f>IF(AND('R. Seguridad de la Información'!$AE$23="Baja",'R. Seguridad de la Información'!$AG$23="Catastrófico"),CONCATENATE("R3C",'R. Seguridad de la Información'!$U$23),"")</f>
        <v/>
      </c>
      <c r="AK38" s="47" t="str">
        <f>IF(AND('R. Seguridad de la Información'!$AE$24="Baja",'R. Seguridad de la Información'!$AG$24="Catastrófico"),CONCATENATE("R3C",'R. Seguridad de la Información'!$U$24),"")</f>
        <v/>
      </c>
      <c r="AL38" s="47" t="str">
        <f>IF(AND('R. Seguridad de la Información'!$AE$25="Baja",'R. Seguridad de la Información'!$AG$25="Catastrófico"),CONCATENATE("R3C",'R. Seguridad de la Información'!$U$25),"")</f>
        <v/>
      </c>
      <c r="AM38" s="48" t="str">
        <f>IF(AND('R. Seguridad de la Información'!$AE$26="Baja",'R. Seguridad de la Información'!$AG$26="Catastrófico"),CONCATENATE("R3C",'R. Seguridad de la Información'!$U$26),"")</f>
        <v/>
      </c>
      <c r="AN38" s="75"/>
      <c r="AO38" s="645"/>
      <c r="AP38" s="646"/>
      <c r="AQ38" s="646"/>
      <c r="AR38" s="646"/>
      <c r="AS38" s="646"/>
      <c r="AT38" s="647"/>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523"/>
      <c r="C39" s="523"/>
      <c r="D39" s="524"/>
      <c r="E39" s="624"/>
      <c r="F39" s="625"/>
      <c r="G39" s="625"/>
      <c r="H39" s="625"/>
      <c r="I39" s="623"/>
      <c r="J39" s="68" t="str">
        <f>IF(AND('R. Seguridad de la Información'!$AE$27="Baja",'R. Seguridad de la Información'!$AG$27="Leve"),CONCATENATE("R4C",'R. Seguridad de la Información'!$U$27),"")</f>
        <v/>
      </c>
      <c r="K39" s="69" t="str">
        <f>IF(AND('R. Seguridad de la Información'!$AE$28="Baja",'R. Seguridad de la Información'!$AG$28="Leve"),CONCATENATE("R4C",'R. Seguridad de la Información'!$U$28),"")</f>
        <v/>
      </c>
      <c r="L39" s="69" t="str">
        <f>IF(AND('R. Seguridad de la Información'!$AE$29="Baja",'R. Seguridad de la Información'!$AG$29="Leve"),CONCATENATE("R4C",'R. Seguridad de la Información'!$U$29),"")</f>
        <v/>
      </c>
      <c r="M39" s="69" t="str">
        <f>IF(AND('R. Seguridad de la Información'!$AE$30="Baja",'R. Seguridad de la Información'!$AG$30="Leve"),CONCATENATE("R4C",'R. Seguridad de la Información'!$U$30),"")</f>
        <v/>
      </c>
      <c r="N39" s="69" t="str">
        <f>IF(AND('R. Seguridad de la Información'!$AE$31="Baja",'R. Seguridad de la Información'!$AG$31="Leve"),CONCATENATE("R4C",'R. Seguridad de la Información'!$U$31),"")</f>
        <v/>
      </c>
      <c r="O39" s="70" t="str">
        <f>IF(AND('R. Seguridad de la Información'!$AE$32="Baja",'R. Seguridad de la Información'!$AG$32="Leve"),CONCATENATE("R4C",'R. Seguridad de la Información'!$U$32),"")</f>
        <v/>
      </c>
      <c r="P39" s="59" t="str">
        <f>IF(AND('R. Seguridad de la Información'!$AE$27="Baja",'R. Seguridad de la Información'!$AG$27="Menor"),CONCATENATE("R4C",'R. Seguridad de la Información'!$U$27),"")</f>
        <v/>
      </c>
      <c r="Q39" s="60" t="str">
        <f>IF(AND('R. Seguridad de la Información'!$AE$28="Baja",'R. Seguridad de la Información'!$AG$28="Menor"),CONCATENATE("R4C",'R. Seguridad de la Información'!$U$28),"")</f>
        <v/>
      </c>
      <c r="R39" s="60" t="str">
        <f>IF(AND('R. Seguridad de la Información'!$AE$29="Baja",'R. Seguridad de la Información'!$AG$29="Menor"),CONCATENATE("R4C",'R. Seguridad de la Información'!$U$29),"")</f>
        <v/>
      </c>
      <c r="S39" s="60" t="str">
        <f>IF(AND('R. Seguridad de la Información'!$AE$30="Baja",'R. Seguridad de la Información'!$AG$30="Menor"),CONCATENATE("R4C",'R. Seguridad de la Información'!$U$30),"")</f>
        <v/>
      </c>
      <c r="T39" s="60" t="str">
        <f>IF(AND('R. Seguridad de la Información'!$AE$31="Baja",'R. Seguridad de la Información'!$AG$31="Menor"),CONCATENATE("R4C",'R. Seguridad de la Información'!$U$31),"")</f>
        <v/>
      </c>
      <c r="U39" s="61" t="str">
        <f>IF(AND('R. Seguridad de la Información'!$AE$32="Baja",'R. Seguridad de la Información'!$AG$32="Menor"),CONCATENATE("R4C",'R. Seguridad de la Información'!$U$32),"")</f>
        <v/>
      </c>
      <c r="V39" s="59" t="str">
        <f>IF(AND('R. Seguridad de la Información'!$AE$27="Baja",'R. Seguridad de la Información'!$AG$27="Moderado"),CONCATENATE("R4C",'R. Seguridad de la Información'!$U$27),"")</f>
        <v/>
      </c>
      <c r="W39" s="60" t="str">
        <f>IF(AND('R. Seguridad de la Información'!$AE$28="Baja",'R. Seguridad de la Información'!$AG$28="Moderado"),CONCATENATE("R4C",'R. Seguridad de la Información'!$U$28),"")</f>
        <v/>
      </c>
      <c r="X39" s="60" t="str">
        <f>IF(AND('R. Seguridad de la Información'!$AE$29="Baja",'R. Seguridad de la Información'!$AG$29="Moderado"),CONCATENATE("R4C",'R. Seguridad de la Información'!$U$29),"")</f>
        <v/>
      </c>
      <c r="Y39" s="60" t="str">
        <f>IF(AND('R. Seguridad de la Información'!$AE$30="Baja",'R. Seguridad de la Información'!$AG$30="Moderado"),CONCATENATE("R4C",'R. Seguridad de la Información'!$U$30),"")</f>
        <v/>
      </c>
      <c r="Z39" s="60" t="str">
        <f>IF(AND('R. Seguridad de la Información'!$AE$31="Baja",'R. Seguridad de la Información'!$AG$31="Moderado"),CONCATENATE("R4C",'R. Seguridad de la Información'!$U$31),"")</f>
        <v/>
      </c>
      <c r="AA39" s="61" t="str">
        <f>IF(AND('R. Seguridad de la Información'!$AE$32="Baja",'R. Seguridad de la Información'!$AG$32="Moderado"),CONCATENATE("R4C",'R. Seguridad de la Información'!$U$32),"")</f>
        <v/>
      </c>
      <c r="AB39" s="43" t="str">
        <f>IF(AND('R. Seguridad de la Información'!$AE$27="Baja",'R. Seguridad de la Información'!$AG$27="Mayor"),CONCATENATE("R4C",'R. Seguridad de la Información'!$U$27),"")</f>
        <v/>
      </c>
      <c r="AC39" s="44" t="str">
        <f>IF(AND('R. Seguridad de la Información'!$AE$28="Baja",'R. Seguridad de la Información'!$AG$28="Mayor"),CONCATENATE("R4C",'R. Seguridad de la Información'!$U$28),"")</f>
        <v/>
      </c>
      <c r="AD39" s="44" t="str">
        <f>IF(AND('R. Seguridad de la Información'!$AE$29="Baja",'R. Seguridad de la Información'!$AG$29="Mayor"),CONCATENATE("R4C",'R. Seguridad de la Información'!$U$29),"")</f>
        <v/>
      </c>
      <c r="AE39" s="44" t="str">
        <f>IF(AND('R. Seguridad de la Información'!$AE$30="Baja",'R. Seguridad de la Información'!$AG$30="Mayor"),CONCATENATE("R4C",'R. Seguridad de la Información'!$U$30),"")</f>
        <v/>
      </c>
      <c r="AF39" s="44" t="str">
        <f>IF(AND('R. Seguridad de la Información'!$AE$31="Baja",'R. Seguridad de la Información'!$AG$31="Mayor"),CONCATENATE("R4C",'R. Seguridad de la Información'!$U$31),"")</f>
        <v/>
      </c>
      <c r="AG39" s="45" t="str">
        <f>IF(AND('R. Seguridad de la Información'!$AE$32="Baja",'R. Seguridad de la Información'!$AG$32="Mayor"),CONCATENATE("R4C",'R. Seguridad de la Información'!$U$32),"")</f>
        <v/>
      </c>
      <c r="AH39" s="46" t="str">
        <f>IF(AND('R. Seguridad de la Información'!$AE$27="Baja",'R. Seguridad de la Información'!$AG$27="Catastrófico"),CONCATENATE("R4C",'R. Seguridad de la Información'!$U$27),"")</f>
        <v/>
      </c>
      <c r="AI39" s="47" t="str">
        <f>IF(AND('R. Seguridad de la Información'!$AE$28="Baja",'R. Seguridad de la Información'!$AG$28="Catastrófico"),CONCATENATE("R4C",'R. Seguridad de la Información'!$U$28),"")</f>
        <v/>
      </c>
      <c r="AJ39" s="47" t="str">
        <f>IF(AND('R. Seguridad de la Información'!$AE$29="Baja",'R. Seguridad de la Información'!$AG$29="Catastrófico"),CONCATENATE("R4C",'R. Seguridad de la Información'!$U$29),"")</f>
        <v/>
      </c>
      <c r="AK39" s="47" t="str">
        <f>IF(AND('R. Seguridad de la Información'!$AE$30="Baja",'R. Seguridad de la Información'!$AG$30="Catastrófico"),CONCATENATE("R4C",'R. Seguridad de la Información'!$U$30),"")</f>
        <v/>
      </c>
      <c r="AL39" s="47" t="str">
        <f>IF(AND('R. Seguridad de la Información'!$AE$31="Baja",'R. Seguridad de la Información'!$AG$31="Catastrófico"),CONCATENATE("R4C",'R. Seguridad de la Información'!$U$31),"")</f>
        <v/>
      </c>
      <c r="AM39" s="48" t="str">
        <f>IF(AND('R. Seguridad de la Información'!$AE$32="Baja",'R. Seguridad de la Información'!$AG$32="Catastrófico"),CONCATENATE("R4C",'R. Seguridad de la Información'!$U$32),"")</f>
        <v/>
      </c>
      <c r="AN39" s="75"/>
      <c r="AO39" s="645"/>
      <c r="AP39" s="646"/>
      <c r="AQ39" s="646"/>
      <c r="AR39" s="646"/>
      <c r="AS39" s="646"/>
      <c r="AT39" s="647"/>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523"/>
      <c r="C40" s="523"/>
      <c r="D40" s="524"/>
      <c r="E40" s="624"/>
      <c r="F40" s="625"/>
      <c r="G40" s="625"/>
      <c r="H40" s="625"/>
      <c r="I40" s="623"/>
      <c r="J40" s="68" t="str">
        <f>IF(AND('R. Seguridad de la Información'!$AE$33="Baja",'R. Seguridad de la Información'!$AG$33="Leve"),CONCATENATE("R5C",'R. Seguridad de la Información'!$U$33),"")</f>
        <v/>
      </c>
      <c r="K40" s="69" t="str">
        <f>IF(AND('R. Seguridad de la Información'!$AE$34="Baja",'R. Seguridad de la Información'!$AG$34="Leve"),CONCATENATE("R5C",'R. Seguridad de la Información'!$U$34),"")</f>
        <v/>
      </c>
      <c r="L40" s="69" t="str">
        <f>IF(AND('R. Seguridad de la Información'!$AE$35="Baja",'R. Seguridad de la Información'!$AG$35="Leve"),CONCATENATE("R5C",'R. Seguridad de la Información'!$U$35),"")</f>
        <v/>
      </c>
      <c r="M40" s="69" t="str">
        <f>IF(AND('R. Seguridad de la Información'!$AE$36="Baja",'R. Seguridad de la Información'!$AG$36="Leve"),CONCATENATE("R5C",'R. Seguridad de la Información'!$U$36),"")</f>
        <v/>
      </c>
      <c r="N40" s="69" t="str">
        <f>IF(AND('R. Seguridad de la Información'!$AE$37="Baja",'R. Seguridad de la Información'!$AG$37="Leve"),CONCATENATE("R5C",'R. Seguridad de la Información'!$U$37),"")</f>
        <v/>
      </c>
      <c r="O40" s="70" t="str">
        <f>IF(AND('R. Seguridad de la Información'!$AE$38="Baja",'R. Seguridad de la Información'!$AG$38="Leve"),CONCATENATE("R5C",'R. Seguridad de la Información'!$U$38),"")</f>
        <v/>
      </c>
      <c r="P40" s="59" t="str">
        <f>IF(AND('R. Seguridad de la Información'!$AE$33="Baja",'R. Seguridad de la Información'!$AG$33="Menor"),CONCATENATE("R5C",'R. Seguridad de la Información'!$U$33),"")</f>
        <v/>
      </c>
      <c r="Q40" s="60" t="str">
        <f>IF(AND('R. Seguridad de la Información'!$AE$34="Baja",'R. Seguridad de la Información'!$AG$34="Menor"),CONCATENATE("R5C",'R. Seguridad de la Información'!$U$34),"")</f>
        <v/>
      </c>
      <c r="R40" s="60" t="str">
        <f>IF(AND('R. Seguridad de la Información'!$AE$35="Baja",'R. Seguridad de la Información'!$AG$35="Menor"),CONCATENATE("R5C",'R. Seguridad de la Información'!$U$35),"")</f>
        <v/>
      </c>
      <c r="S40" s="60" t="str">
        <f>IF(AND('R. Seguridad de la Información'!$AE$36="Baja",'R. Seguridad de la Información'!$AG$36="Menor"),CONCATENATE("R5C",'R. Seguridad de la Información'!$U$36),"")</f>
        <v/>
      </c>
      <c r="T40" s="60" t="str">
        <f>IF(AND('R. Seguridad de la Información'!$AE$37="Baja",'R. Seguridad de la Información'!$AG$37="Menor"),CONCATENATE("R5C",'R. Seguridad de la Información'!$U$37),"")</f>
        <v/>
      </c>
      <c r="U40" s="61" t="str">
        <f>IF(AND('R. Seguridad de la Información'!$AE$38="Baja",'R. Seguridad de la Información'!$AG$38="Menor"),CONCATENATE("R5C",'R. Seguridad de la Información'!$U$38),"")</f>
        <v/>
      </c>
      <c r="V40" s="59" t="str">
        <f>IF(AND('R. Seguridad de la Información'!$AE$33="Baja",'R. Seguridad de la Información'!$AG$33="Moderado"),CONCATENATE("R5C",'R. Seguridad de la Información'!$U$33),"")</f>
        <v/>
      </c>
      <c r="W40" s="60" t="str">
        <f>IF(AND('R. Seguridad de la Información'!$AE$34="Baja",'R. Seguridad de la Información'!$AG$34="Moderado"),CONCATENATE("R5C",'R. Seguridad de la Información'!$U$34),"")</f>
        <v/>
      </c>
      <c r="X40" s="60" t="str">
        <f>IF(AND('R. Seguridad de la Información'!$AE$35="Baja",'R. Seguridad de la Información'!$AG$35="Moderado"),CONCATENATE("R5C",'R. Seguridad de la Información'!$U$35),"")</f>
        <v/>
      </c>
      <c r="Y40" s="60" t="str">
        <f>IF(AND('R. Seguridad de la Información'!$AE$36="Baja",'R. Seguridad de la Información'!$AG$36="Moderado"),CONCATENATE("R5C",'R. Seguridad de la Información'!$U$36),"")</f>
        <v/>
      </c>
      <c r="Z40" s="60" t="str">
        <f>IF(AND('R. Seguridad de la Información'!$AE$37="Baja",'R. Seguridad de la Información'!$AG$37="Moderado"),CONCATENATE("R5C",'R. Seguridad de la Información'!$U$37),"")</f>
        <v/>
      </c>
      <c r="AA40" s="61" t="str">
        <f>IF(AND('R. Seguridad de la Información'!$AE$38="Baja",'R. Seguridad de la Información'!$AG$38="Moderado"),CONCATENATE("R5C",'R. Seguridad de la Información'!$U$38),"")</f>
        <v/>
      </c>
      <c r="AB40" s="43" t="str">
        <f>IF(AND('R. Seguridad de la Información'!$AE$33="Baja",'R. Seguridad de la Información'!$AG$33="Mayor"),CONCATENATE("R5C",'R. Seguridad de la Información'!$U$33),"")</f>
        <v/>
      </c>
      <c r="AC40" s="44" t="str">
        <f>IF(AND('R. Seguridad de la Información'!$AE$34="Baja",'R. Seguridad de la Información'!$AG$34="Mayor"),CONCATENATE("R5C",'R. Seguridad de la Información'!$U$34),"")</f>
        <v/>
      </c>
      <c r="AD40" s="49" t="str">
        <f>IF(AND('R. Seguridad de la Información'!$AE$35="Baja",'R. Seguridad de la Información'!$AG$35="Mayor"),CONCATENATE("R5C",'R. Seguridad de la Información'!$U$35),"")</f>
        <v/>
      </c>
      <c r="AE40" s="49" t="str">
        <f>IF(AND('R. Seguridad de la Información'!$AE$36="Baja",'R. Seguridad de la Información'!$AG$36="Mayor"),CONCATENATE("R5C",'R. Seguridad de la Información'!$U$36),"")</f>
        <v/>
      </c>
      <c r="AF40" s="49" t="str">
        <f>IF(AND('R. Seguridad de la Información'!$AE$37="Baja",'R. Seguridad de la Información'!$AG$37="Mayor"),CONCATENATE("R5C",'R. Seguridad de la Información'!$U$37),"")</f>
        <v/>
      </c>
      <c r="AG40" s="45" t="str">
        <f>IF(AND('R. Seguridad de la Información'!$AE$38="Baja",'R. Seguridad de la Información'!$AG$38="Mayor"),CONCATENATE("R5C",'R. Seguridad de la Información'!$U$38),"")</f>
        <v/>
      </c>
      <c r="AH40" s="46" t="str">
        <f>IF(AND('R. Seguridad de la Información'!$AE$33="Baja",'R. Seguridad de la Información'!$AG$33="Catastrófico"),CONCATENATE("R5C",'R. Seguridad de la Información'!$U$33),"")</f>
        <v/>
      </c>
      <c r="AI40" s="47" t="str">
        <f>IF(AND('R. Seguridad de la Información'!$AE$34="Baja",'R. Seguridad de la Información'!$AG$34="Catastrófico"),CONCATENATE("R5C",'R. Seguridad de la Información'!$U$34),"")</f>
        <v/>
      </c>
      <c r="AJ40" s="47" t="str">
        <f>IF(AND('R. Seguridad de la Información'!$AE$35="Baja",'R. Seguridad de la Información'!$AG$35="Catastrófico"),CONCATENATE("R5C",'R. Seguridad de la Información'!$U$35),"")</f>
        <v/>
      </c>
      <c r="AK40" s="47" t="str">
        <f>IF(AND('R. Seguridad de la Información'!$AE$36="Baja",'R. Seguridad de la Información'!$AG$36="Catastrófico"),CONCATENATE("R5C",'R. Seguridad de la Información'!$U$36),"")</f>
        <v/>
      </c>
      <c r="AL40" s="47" t="str">
        <f>IF(AND('R. Seguridad de la Información'!$AE$37="Baja",'R. Seguridad de la Información'!$AG$37="Catastrófico"),CONCATENATE("R5C",'R. Seguridad de la Información'!$U$37),"")</f>
        <v/>
      </c>
      <c r="AM40" s="48" t="str">
        <f>IF(AND('R. Seguridad de la Información'!$AE$38="Baja",'R. Seguridad de la Información'!$AG$38="Catastrófico"),CONCATENATE("R5C",'R. Seguridad de la Información'!$U$38),"")</f>
        <v/>
      </c>
      <c r="AN40" s="75"/>
      <c r="AO40" s="645"/>
      <c r="AP40" s="646"/>
      <c r="AQ40" s="646"/>
      <c r="AR40" s="646"/>
      <c r="AS40" s="646"/>
      <c r="AT40" s="647"/>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523"/>
      <c r="C41" s="523"/>
      <c r="D41" s="524"/>
      <c r="E41" s="624"/>
      <c r="F41" s="625"/>
      <c r="G41" s="625"/>
      <c r="H41" s="625"/>
      <c r="I41" s="623"/>
      <c r="J41" s="68" t="str">
        <f>IF(AND('R. Seguridad de la Información'!$AE$39="Baja",'R. Seguridad de la Información'!$AG$39="Leve"),CONCATENATE("R6C",'R. Seguridad de la Información'!$U$39),"")</f>
        <v/>
      </c>
      <c r="K41" s="69" t="str">
        <f>IF(AND('R. Seguridad de la Información'!$AE$40="Baja",'R. Seguridad de la Información'!$AG$40="Leve"),CONCATENATE("R6C",'R. Seguridad de la Información'!$U$40),"")</f>
        <v/>
      </c>
      <c r="L41" s="69" t="str">
        <f>IF(AND('R. Seguridad de la Información'!$AE$41="Baja",'R. Seguridad de la Información'!$AG$41="Leve"),CONCATENATE("R6C",'R. Seguridad de la Información'!$U$41),"")</f>
        <v/>
      </c>
      <c r="M41" s="69" t="str">
        <f>IF(AND('R. Seguridad de la Información'!$AE$42="Baja",'R. Seguridad de la Información'!$AG$42="Leve"),CONCATENATE("R6C",'R. Seguridad de la Información'!$U$42),"")</f>
        <v/>
      </c>
      <c r="N41" s="69" t="str">
        <f>IF(AND('R. Seguridad de la Información'!$AE$43="Baja",'R. Seguridad de la Información'!$AG$43="Leve"),CONCATENATE("R6C",'R. Seguridad de la Información'!$U$43),"")</f>
        <v/>
      </c>
      <c r="O41" s="70" t="str">
        <f>IF(AND('R. Seguridad de la Información'!$AE$44="Baja",'R. Seguridad de la Información'!$AG$44="Leve"),CONCATENATE("R6C",'R. Seguridad de la Información'!$U$44),"")</f>
        <v/>
      </c>
      <c r="P41" s="59" t="str">
        <f>IF(AND('R. Seguridad de la Información'!$AE$39="Baja",'R. Seguridad de la Información'!$AG$39="Menor"),CONCATENATE("R6C",'R. Seguridad de la Información'!$U$39),"")</f>
        <v/>
      </c>
      <c r="Q41" s="60" t="str">
        <f>IF(AND('R. Seguridad de la Información'!$AE$40="Baja",'R. Seguridad de la Información'!$AG$40="Menor"),CONCATENATE("R6C",'R. Seguridad de la Información'!$U$40),"")</f>
        <v/>
      </c>
      <c r="R41" s="60" t="str">
        <f>IF(AND('R. Seguridad de la Información'!$AE$41="Baja",'R. Seguridad de la Información'!$AG$41="Menor"),CONCATENATE("R6C",'R. Seguridad de la Información'!$U$41),"")</f>
        <v/>
      </c>
      <c r="S41" s="60" t="str">
        <f>IF(AND('R. Seguridad de la Información'!$AE$42="Baja",'R. Seguridad de la Información'!$AG$42="Menor"),CONCATENATE("R6C",'R. Seguridad de la Información'!$U$42),"")</f>
        <v/>
      </c>
      <c r="T41" s="60" t="str">
        <f>IF(AND('R. Seguridad de la Información'!$AE$43="Baja",'R. Seguridad de la Información'!$AG$43="Menor"),CONCATENATE("R6C",'R. Seguridad de la Información'!$U$43),"")</f>
        <v/>
      </c>
      <c r="U41" s="61" t="str">
        <f>IF(AND('R. Seguridad de la Información'!$AE$44="Baja",'R. Seguridad de la Información'!$AG$44="Menor"),CONCATENATE("R6C",'R. Seguridad de la Información'!$U$44),"")</f>
        <v/>
      </c>
      <c r="V41" s="59" t="str">
        <f>IF(AND('R. Seguridad de la Información'!$AE$39="Baja",'R. Seguridad de la Información'!$AG$39="Moderado"),CONCATENATE("R6C",'R. Seguridad de la Información'!$U$39),"")</f>
        <v/>
      </c>
      <c r="W41" s="60" t="str">
        <f>IF(AND('R. Seguridad de la Información'!$AE$40="Baja",'R. Seguridad de la Información'!$AG$40="Moderado"),CONCATENATE("R6C",'R. Seguridad de la Información'!$U$40),"")</f>
        <v/>
      </c>
      <c r="X41" s="60" t="str">
        <f>IF(AND('R. Seguridad de la Información'!$AE$41="Baja",'R. Seguridad de la Información'!$AG$41="Moderado"),CONCATENATE("R6C",'R. Seguridad de la Información'!$U$41),"")</f>
        <v/>
      </c>
      <c r="Y41" s="60" t="str">
        <f>IF(AND('R. Seguridad de la Información'!$AE$42="Baja",'R. Seguridad de la Información'!$AG$42="Moderado"),CONCATENATE("R6C",'R. Seguridad de la Información'!$U$42),"")</f>
        <v/>
      </c>
      <c r="Z41" s="60" t="str">
        <f>IF(AND('R. Seguridad de la Información'!$AE$43="Baja",'R. Seguridad de la Información'!$AG$43="Moderado"),CONCATENATE("R6C",'R. Seguridad de la Información'!$U$43),"")</f>
        <v/>
      </c>
      <c r="AA41" s="61" t="str">
        <f>IF(AND('R. Seguridad de la Información'!$AE$44="Baja",'R. Seguridad de la Información'!$AG$44="Moderado"),CONCATENATE("R6C",'R. Seguridad de la Información'!$U$44),"")</f>
        <v/>
      </c>
      <c r="AB41" s="43" t="str">
        <f>IF(AND('R. Seguridad de la Información'!$AE$39="Baja",'R. Seguridad de la Información'!$AG$39="Mayor"),CONCATENATE("R6C",'R. Seguridad de la Información'!$U$39),"")</f>
        <v/>
      </c>
      <c r="AC41" s="44" t="str">
        <f>IF(AND('R. Seguridad de la Información'!$AE$40="Baja",'R. Seguridad de la Información'!$AG$40="Mayor"),CONCATENATE("R6C",'R. Seguridad de la Información'!$U$40),"")</f>
        <v/>
      </c>
      <c r="AD41" s="49" t="str">
        <f>IF(AND('R. Seguridad de la Información'!$AE$41="Baja",'R. Seguridad de la Información'!$AG$41="Mayor"),CONCATENATE("R6C",'R. Seguridad de la Información'!$U$41),"")</f>
        <v/>
      </c>
      <c r="AE41" s="49" t="str">
        <f>IF(AND('R. Seguridad de la Información'!$AE$42="Baja",'R. Seguridad de la Información'!$AG$42="Mayor"),CONCATENATE("R6C",'R. Seguridad de la Información'!$U$42),"")</f>
        <v/>
      </c>
      <c r="AF41" s="49" t="str">
        <f>IF(AND('R. Seguridad de la Información'!$AE$43="Baja",'R. Seguridad de la Información'!$AG$43="Mayor"),CONCATENATE("R6C",'R. Seguridad de la Información'!$U$43),"")</f>
        <v/>
      </c>
      <c r="AG41" s="45" t="str">
        <f>IF(AND('R. Seguridad de la Información'!$AE$44="Baja",'R. Seguridad de la Información'!$AG$44="Mayor"),CONCATENATE("R6C",'R. Seguridad de la Información'!$U$44),"")</f>
        <v/>
      </c>
      <c r="AH41" s="46" t="str">
        <f>IF(AND('R. Seguridad de la Información'!$AE$39="Baja",'R. Seguridad de la Información'!$AG$39="Catastrófico"),CONCATENATE("R6C",'R. Seguridad de la Información'!$U$39),"")</f>
        <v/>
      </c>
      <c r="AI41" s="47" t="str">
        <f>IF(AND('R. Seguridad de la Información'!$AE$40="Baja",'R. Seguridad de la Información'!$AG$40="Catastrófico"),CONCATENATE("R6C",'R. Seguridad de la Información'!$U$40),"")</f>
        <v/>
      </c>
      <c r="AJ41" s="47" t="str">
        <f>IF(AND('R. Seguridad de la Información'!$AE$41="Baja",'R. Seguridad de la Información'!$AG$41="Catastrófico"),CONCATENATE("R6C",'R. Seguridad de la Información'!$U$41),"")</f>
        <v/>
      </c>
      <c r="AK41" s="47" t="str">
        <f>IF(AND('R. Seguridad de la Información'!$AE$42="Baja",'R. Seguridad de la Información'!$AG$42="Catastrófico"),CONCATENATE("R6C",'R. Seguridad de la Información'!$U$42),"")</f>
        <v/>
      </c>
      <c r="AL41" s="47" t="str">
        <f>IF(AND('R. Seguridad de la Información'!$AE$43="Baja",'R. Seguridad de la Información'!$AG$43="Catastrófico"),CONCATENATE("R6C",'R. Seguridad de la Información'!$U$43),"")</f>
        <v/>
      </c>
      <c r="AM41" s="48" t="str">
        <f>IF(AND('R. Seguridad de la Información'!$AE$44="Baja",'R. Seguridad de la Información'!$AG$44="Catastrófico"),CONCATENATE("R6C",'R. Seguridad de la Información'!$U$44),"")</f>
        <v/>
      </c>
      <c r="AN41" s="75"/>
      <c r="AO41" s="645"/>
      <c r="AP41" s="646"/>
      <c r="AQ41" s="646"/>
      <c r="AR41" s="646"/>
      <c r="AS41" s="646"/>
      <c r="AT41" s="647"/>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523"/>
      <c r="C42" s="523"/>
      <c r="D42" s="524"/>
      <c r="E42" s="624"/>
      <c r="F42" s="625"/>
      <c r="G42" s="625"/>
      <c r="H42" s="625"/>
      <c r="I42" s="623"/>
      <c r="J42" s="68" t="str">
        <f>IF(AND('R. Seguridad de la Información'!$AE$45="Baja",'R. Seguridad de la Información'!$AG$45="Leve"),CONCATENATE("R7C",'R. Seguridad de la Información'!$U$45),"")</f>
        <v/>
      </c>
      <c r="K42" s="69" t="str">
        <f>IF(AND('R. Seguridad de la Información'!$AE$46="Baja",'R. Seguridad de la Información'!$AG$46="Leve"),CONCATENATE("R7C",'R. Seguridad de la Información'!$U$46),"")</f>
        <v/>
      </c>
      <c r="L42" s="69" t="str">
        <f>IF(AND('R. Seguridad de la Información'!$AE$47="Baja",'R. Seguridad de la Información'!$AG$47="Leve"),CONCATENATE("R7C",'R. Seguridad de la Información'!$U$47),"")</f>
        <v/>
      </c>
      <c r="M42" s="69" t="str">
        <f>IF(AND('R. Seguridad de la Información'!$AE$48="Baja",'R. Seguridad de la Información'!$AG$48="Leve"),CONCATENATE("R7C",'R. Seguridad de la Información'!$U$48),"")</f>
        <v/>
      </c>
      <c r="N42" s="69" t="str">
        <f>IF(AND('R. Seguridad de la Información'!$AE$49="Baja",'R. Seguridad de la Información'!$AG$49="Leve"),CONCATENATE("R7C",'R. Seguridad de la Información'!$U$49),"")</f>
        <v/>
      </c>
      <c r="O42" s="70" t="str">
        <f>IF(AND('R. Seguridad de la Información'!$AE$50="Baja",'R. Seguridad de la Información'!$AG$50="Leve"),CONCATENATE("R7C",'R. Seguridad de la Información'!$U$50),"")</f>
        <v/>
      </c>
      <c r="P42" s="59" t="str">
        <f>IF(AND('R. Seguridad de la Información'!$AE$45="Baja",'R. Seguridad de la Información'!$AG$45="Menor"),CONCATENATE("R7C",'R. Seguridad de la Información'!$U$45),"")</f>
        <v/>
      </c>
      <c r="Q42" s="60" t="str">
        <f>IF(AND('R. Seguridad de la Información'!$AE$46="Baja",'R. Seguridad de la Información'!$AG$46="Menor"),CONCATENATE("R7C",'R. Seguridad de la Información'!$U$46),"")</f>
        <v/>
      </c>
      <c r="R42" s="60" t="str">
        <f>IF(AND('R. Seguridad de la Información'!$AE$47="Baja",'R. Seguridad de la Información'!$AG$47="Menor"),CONCATENATE("R7C",'R. Seguridad de la Información'!$U$47),"")</f>
        <v/>
      </c>
      <c r="S42" s="60" t="str">
        <f>IF(AND('R. Seguridad de la Información'!$AE$48="Baja",'R. Seguridad de la Información'!$AG$48="Menor"),CONCATENATE("R7C",'R. Seguridad de la Información'!$U$48),"")</f>
        <v/>
      </c>
      <c r="T42" s="60" t="str">
        <f>IF(AND('R. Seguridad de la Información'!$AE$49="Baja",'R. Seguridad de la Información'!$AG$49="Menor"),CONCATENATE("R7C",'R. Seguridad de la Información'!$U$49),"")</f>
        <v/>
      </c>
      <c r="U42" s="61" t="str">
        <f>IF(AND('R. Seguridad de la Información'!$AE$50="Baja",'R. Seguridad de la Información'!$AG$50="Menor"),CONCATENATE("R7C",'R. Seguridad de la Información'!$U$50),"")</f>
        <v/>
      </c>
      <c r="V42" s="59" t="str">
        <f>IF(AND('R. Seguridad de la Información'!$AE$45="Baja",'R. Seguridad de la Información'!$AG$45="Moderado"),CONCATENATE("R7C",'R. Seguridad de la Información'!$U$45),"")</f>
        <v/>
      </c>
      <c r="W42" s="60" t="str">
        <f>IF(AND('R. Seguridad de la Información'!$AE$46="Baja",'R. Seguridad de la Información'!$AG$46="Moderado"),CONCATENATE("R7C",'R. Seguridad de la Información'!$U$46),"")</f>
        <v/>
      </c>
      <c r="X42" s="60" t="str">
        <f>IF(AND('R. Seguridad de la Información'!$AE$47="Baja",'R. Seguridad de la Información'!$AG$47="Moderado"),CONCATENATE("R7C",'R. Seguridad de la Información'!$U$47),"")</f>
        <v/>
      </c>
      <c r="Y42" s="60" t="str">
        <f>IF(AND('R. Seguridad de la Información'!$AE$48="Baja",'R. Seguridad de la Información'!$AG$48="Moderado"),CONCATENATE("R7C",'R. Seguridad de la Información'!$U$48),"")</f>
        <v/>
      </c>
      <c r="Z42" s="60" t="str">
        <f>IF(AND('R. Seguridad de la Información'!$AE$49="Baja",'R. Seguridad de la Información'!$AG$49="Moderado"),CONCATENATE("R7C",'R. Seguridad de la Información'!$U$49),"")</f>
        <v/>
      </c>
      <c r="AA42" s="61" t="str">
        <f>IF(AND('R. Seguridad de la Información'!$AE$50="Baja",'R. Seguridad de la Información'!$AG$50="Moderado"),CONCATENATE("R7C",'R. Seguridad de la Información'!$U$50),"")</f>
        <v/>
      </c>
      <c r="AB42" s="43" t="str">
        <f>IF(AND('R. Seguridad de la Información'!$AE$45="Baja",'R. Seguridad de la Información'!$AG$45="Mayor"),CONCATENATE("R7C",'R. Seguridad de la Información'!$U$45),"")</f>
        <v/>
      </c>
      <c r="AC42" s="44" t="str">
        <f>IF(AND('R. Seguridad de la Información'!$AE$46="Baja",'R. Seguridad de la Información'!$AG$46="Mayor"),CONCATENATE("R7C",'R. Seguridad de la Información'!$U$46),"")</f>
        <v/>
      </c>
      <c r="AD42" s="49" t="str">
        <f>IF(AND('R. Seguridad de la Información'!$AE$47="Baja",'R. Seguridad de la Información'!$AG$47="Mayor"),CONCATENATE("R7C",'R. Seguridad de la Información'!$U$47),"")</f>
        <v/>
      </c>
      <c r="AE42" s="49" t="str">
        <f>IF(AND('R. Seguridad de la Información'!$AE$48="Baja",'R. Seguridad de la Información'!$AG$48="Mayor"),CONCATENATE("R7C",'R. Seguridad de la Información'!$U$48),"")</f>
        <v/>
      </c>
      <c r="AF42" s="49" t="str">
        <f>IF(AND('R. Seguridad de la Información'!$AE$49="Baja",'R. Seguridad de la Información'!$AG$49="Mayor"),CONCATENATE("R7C",'R. Seguridad de la Información'!$U$49),"")</f>
        <v/>
      </c>
      <c r="AG42" s="45" t="str">
        <f>IF(AND('R. Seguridad de la Información'!$AE$50="Baja",'R. Seguridad de la Información'!$AG$50="Mayor"),CONCATENATE("R7C",'R. Seguridad de la Información'!$U$50),"")</f>
        <v/>
      </c>
      <c r="AH42" s="46" t="str">
        <f>IF(AND('R. Seguridad de la Información'!$AE$45="Baja",'R. Seguridad de la Información'!$AG$45="Catastrófico"),CONCATENATE("R7C",'R. Seguridad de la Información'!$U$45),"")</f>
        <v/>
      </c>
      <c r="AI42" s="47" t="str">
        <f>IF(AND('R. Seguridad de la Información'!$AE$46="Baja",'R. Seguridad de la Información'!$AG$46="Catastrófico"),CONCATENATE("R7C",'R. Seguridad de la Información'!$U$46),"")</f>
        <v/>
      </c>
      <c r="AJ42" s="47" t="str">
        <f>IF(AND('R. Seguridad de la Información'!$AE$47="Baja",'R. Seguridad de la Información'!$AG$47="Catastrófico"),CONCATENATE("R7C",'R. Seguridad de la Información'!$U$47),"")</f>
        <v/>
      </c>
      <c r="AK42" s="47" t="str">
        <f>IF(AND('R. Seguridad de la Información'!$AE$48="Baja",'R. Seguridad de la Información'!$AG$48="Catastrófico"),CONCATENATE("R7C",'R. Seguridad de la Información'!$U$48),"")</f>
        <v/>
      </c>
      <c r="AL42" s="47" t="str">
        <f>IF(AND('R. Seguridad de la Información'!$AE$49="Baja",'R. Seguridad de la Información'!$AG$49="Catastrófico"),CONCATENATE("R7C",'R. Seguridad de la Información'!$U$49),"")</f>
        <v/>
      </c>
      <c r="AM42" s="48" t="str">
        <f>IF(AND('R. Seguridad de la Información'!$AE$50="Baja",'R. Seguridad de la Información'!$AG$50="Catastrófico"),CONCATENATE("R7C",'R. Seguridad de la Información'!$U$50),"")</f>
        <v/>
      </c>
      <c r="AN42" s="75"/>
      <c r="AO42" s="645"/>
      <c r="AP42" s="646"/>
      <c r="AQ42" s="646"/>
      <c r="AR42" s="646"/>
      <c r="AS42" s="646"/>
      <c r="AT42" s="647"/>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523"/>
      <c r="C43" s="523"/>
      <c r="D43" s="524"/>
      <c r="E43" s="624"/>
      <c r="F43" s="625"/>
      <c r="G43" s="625"/>
      <c r="H43" s="625"/>
      <c r="I43" s="623"/>
      <c r="J43" s="68" t="str">
        <f>IF(AND('R. Seguridad de la Información'!$AE$51="Baja",'R. Seguridad de la Información'!$AG$51="Leve"),CONCATENATE("R8C",'R. Seguridad de la Información'!$U$51),"")</f>
        <v/>
      </c>
      <c r="K43" s="69" t="str">
        <f>IF(AND('R. Seguridad de la Información'!$AE$52="Baja",'R. Seguridad de la Información'!$AG$52="Leve"),CONCATENATE("R8C",'R. Seguridad de la Información'!$U$52),"")</f>
        <v/>
      </c>
      <c r="L43" s="69" t="str">
        <f>IF(AND('R. Seguridad de la Información'!$AE$53="Baja",'R. Seguridad de la Información'!$AG$53="Leve"),CONCATENATE("R8C",'R. Seguridad de la Información'!$U$53),"")</f>
        <v/>
      </c>
      <c r="M43" s="69" t="str">
        <f>IF(AND('R. Seguridad de la Información'!$AE$54="Baja",'R. Seguridad de la Información'!$AG$54="Leve"),CONCATENATE("R8C",'R. Seguridad de la Información'!$U$54),"")</f>
        <v/>
      </c>
      <c r="N43" s="69" t="str">
        <f>IF(AND('R. Seguridad de la Información'!$AE$55="Baja",'R. Seguridad de la Información'!$AG$55="Leve"),CONCATENATE("R8C",'R. Seguridad de la Información'!$U$55),"")</f>
        <v/>
      </c>
      <c r="O43" s="70" t="str">
        <f>IF(AND('R. Seguridad de la Información'!$AE$56="Baja",'R. Seguridad de la Información'!$AG$56="Leve"),CONCATENATE("R8C",'R. Seguridad de la Información'!$U$56),"")</f>
        <v/>
      </c>
      <c r="P43" s="59" t="str">
        <f>IF(AND('R. Seguridad de la Información'!$AE$51="Baja",'R. Seguridad de la Información'!$AG$51="Menor"),CONCATENATE("R8C",'R. Seguridad de la Información'!$U$51),"")</f>
        <v/>
      </c>
      <c r="Q43" s="60" t="str">
        <f>IF(AND('R. Seguridad de la Información'!$AE$52="Baja",'R. Seguridad de la Información'!$AG$52="Menor"),CONCATENATE("R8C",'R. Seguridad de la Información'!$U$52),"")</f>
        <v/>
      </c>
      <c r="R43" s="60" t="str">
        <f>IF(AND('R. Seguridad de la Información'!$AE$53="Baja",'R. Seguridad de la Información'!$AG$53="Menor"),CONCATENATE("R8C",'R. Seguridad de la Información'!$U$53),"")</f>
        <v/>
      </c>
      <c r="S43" s="60" t="str">
        <f>IF(AND('R. Seguridad de la Información'!$AE$54="Baja",'R. Seguridad de la Información'!$AG$54="Menor"),CONCATENATE("R8C",'R. Seguridad de la Información'!$U$54),"")</f>
        <v/>
      </c>
      <c r="T43" s="60" t="str">
        <f>IF(AND('R. Seguridad de la Información'!$AE$55="Baja",'R. Seguridad de la Información'!$AG$55="Menor"),CONCATENATE("R8C",'R. Seguridad de la Información'!$U$55),"")</f>
        <v/>
      </c>
      <c r="U43" s="61" t="str">
        <f>IF(AND('R. Seguridad de la Información'!$AE$56="Baja",'R. Seguridad de la Información'!$AG$56="Menor"),CONCATENATE("R8C",'R. Seguridad de la Información'!$U$56),"")</f>
        <v/>
      </c>
      <c r="V43" s="59" t="str">
        <f>IF(AND('R. Seguridad de la Información'!$AE$51="Baja",'R. Seguridad de la Información'!$AG$51="Moderado"),CONCATENATE("R8C",'R. Seguridad de la Información'!$U$51),"")</f>
        <v/>
      </c>
      <c r="W43" s="60" t="str">
        <f>IF(AND('R. Seguridad de la Información'!$AE$52="Baja",'R. Seguridad de la Información'!$AG$52="Moderado"),CONCATENATE("R8C",'R. Seguridad de la Información'!$U$52),"")</f>
        <v/>
      </c>
      <c r="X43" s="60" t="str">
        <f>IF(AND('R. Seguridad de la Información'!$AE$53="Baja",'R. Seguridad de la Información'!$AG$53="Moderado"),CONCATENATE("R8C",'R. Seguridad de la Información'!$U$53),"")</f>
        <v/>
      </c>
      <c r="Y43" s="60" t="str">
        <f>IF(AND('R. Seguridad de la Información'!$AE$54="Baja",'R. Seguridad de la Información'!$AG$54="Moderado"),CONCATENATE("R8C",'R. Seguridad de la Información'!$U$54),"")</f>
        <v/>
      </c>
      <c r="Z43" s="60" t="str">
        <f>IF(AND('R. Seguridad de la Información'!$AE$55="Baja",'R. Seguridad de la Información'!$AG$55="Moderado"),CONCATENATE("R8C",'R. Seguridad de la Información'!$U$55),"")</f>
        <v/>
      </c>
      <c r="AA43" s="61" t="str">
        <f>IF(AND('R. Seguridad de la Información'!$AE$56="Baja",'R. Seguridad de la Información'!$AG$56="Moderado"),CONCATENATE("R8C",'R. Seguridad de la Información'!$U$56),"")</f>
        <v/>
      </c>
      <c r="AB43" s="43" t="str">
        <f>IF(AND('R. Seguridad de la Información'!$AE$51="Baja",'R. Seguridad de la Información'!$AG$51="Mayor"),CONCATENATE("R8C",'R. Seguridad de la Información'!$U$51),"")</f>
        <v/>
      </c>
      <c r="AC43" s="44" t="str">
        <f>IF(AND('R. Seguridad de la Información'!$AE$52="Baja",'R. Seguridad de la Información'!$AG$52="Mayor"),CONCATENATE("R8C",'R. Seguridad de la Información'!$U$52),"")</f>
        <v/>
      </c>
      <c r="AD43" s="49" t="str">
        <f>IF(AND('R. Seguridad de la Información'!$AE$53="Baja",'R. Seguridad de la Información'!$AG$53="Mayor"),CONCATENATE("R8C",'R. Seguridad de la Información'!$U$53),"")</f>
        <v/>
      </c>
      <c r="AE43" s="49" t="str">
        <f>IF(AND('R. Seguridad de la Información'!$AE$54="Baja",'R. Seguridad de la Información'!$AG$54="Mayor"),CONCATENATE("R8C",'R. Seguridad de la Información'!$U$54),"")</f>
        <v/>
      </c>
      <c r="AF43" s="49" t="str">
        <f>IF(AND('R. Seguridad de la Información'!$AE$55="Baja",'R. Seguridad de la Información'!$AG$55="Mayor"),CONCATENATE("R8C",'R. Seguridad de la Información'!$U$55),"")</f>
        <v/>
      </c>
      <c r="AG43" s="45" t="str">
        <f>IF(AND('R. Seguridad de la Información'!$AE$56="Baja",'R. Seguridad de la Información'!$AG$56="Mayor"),CONCATENATE("R8C",'R. Seguridad de la Información'!$U$56),"")</f>
        <v/>
      </c>
      <c r="AH43" s="46" t="str">
        <f>IF(AND('R. Seguridad de la Información'!$AE$51="Baja",'R. Seguridad de la Información'!$AG$51="Catastrófico"),CONCATENATE("R8C",'R. Seguridad de la Información'!$U$51),"")</f>
        <v/>
      </c>
      <c r="AI43" s="47" t="str">
        <f>IF(AND('R. Seguridad de la Información'!$AE$52="Baja",'R. Seguridad de la Información'!$AG$52="Catastrófico"),CONCATENATE("R8C",'R. Seguridad de la Información'!$U$52),"")</f>
        <v/>
      </c>
      <c r="AJ43" s="47" t="str">
        <f>IF(AND('R. Seguridad de la Información'!$AE$53="Baja",'R. Seguridad de la Información'!$AG$53="Catastrófico"),CONCATENATE("R8C",'R. Seguridad de la Información'!$U$53),"")</f>
        <v/>
      </c>
      <c r="AK43" s="47" t="str">
        <f>IF(AND('R. Seguridad de la Información'!$AE$54="Baja",'R. Seguridad de la Información'!$AG$54="Catastrófico"),CONCATENATE("R8C",'R. Seguridad de la Información'!$U$54),"")</f>
        <v/>
      </c>
      <c r="AL43" s="47" t="str">
        <f>IF(AND('R. Seguridad de la Información'!$AE$55="Baja",'R. Seguridad de la Información'!$AG$55="Catastrófico"),CONCATENATE("R8C",'R. Seguridad de la Información'!$U$55),"")</f>
        <v/>
      </c>
      <c r="AM43" s="48" t="str">
        <f>IF(AND('R. Seguridad de la Información'!$AE$56="Baja",'R. Seguridad de la Información'!$AG$56="Catastrófico"),CONCATENATE("R8C",'R. Seguridad de la Información'!$U$56),"")</f>
        <v/>
      </c>
      <c r="AN43" s="75"/>
      <c r="AO43" s="645"/>
      <c r="AP43" s="646"/>
      <c r="AQ43" s="646"/>
      <c r="AR43" s="646"/>
      <c r="AS43" s="646"/>
      <c r="AT43" s="647"/>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523"/>
      <c r="C44" s="523"/>
      <c r="D44" s="524"/>
      <c r="E44" s="624"/>
      <c r="F44" s="625"/>
      <c r="G44" s="625"/>
      <c r="H44" s="625"/>
      <c r="I44" s="623"/>
      <c r="J44" s="68" t="str">
        <f>IF(AND('R. Seguridad de la Información'!$AE$57="Baja",'R. Seguridad de la Información'!$AG$57="Leve"),CONCATENATE("R9C",'R. Seguridad de la Información'!$U$57),"")</f>
        <v/>
      </c>
      <c r="K44" s="69" t="str">
        <f>IF(AND('R. Seguridad de la Información'!$AE$58="Baja",'R. Seguridad de la Información'!$AG$58="Leve"),CONCATENATE("R9C",'R. Seguridad de la Información'!$U$58),"")</f>
        <v/>
      </c>
      <c r="L44" s="69" t="str">
        <f>IF(AND('R. Seguridad de la Información'!$AE$59="Baja",'R. Seguridad de la Información'!$AG$59="Leve"),CONCATENATE("R9C",'R. Seguridad de la Información'!$U$59),"")</f>
        <v/>
      </c>
      <c r="M44" s="69" t="str">
        <f>IF(AND('R. Seguridad de la Información'!$AE$60="Baja",'R. Seguridad de la Información'!$AG$60="Leve"),CONCATENATE("R9C",'R. Seguridad de la Información'!$U$60),"")</f>
        <v/>
      </c>
      <c r="N44" s="69" t="str">
        <f>IF(AND('R. Seguridad de la Información'!$AE$61="Baja",'R. Seguridad de la Información'!$AG$61="Leve"),CONCATENATE("R9C",'R. Seguridad de la Información'!$U$61),"")</f>
        <v/>
      </c>
      <c r="O44" s="70" t="str">
        <f>IF(AND('R. Seguridad de la Información'!$AE$62="Baja",'R. Seguridad de la Información'!$AG$62="Leve"),CONCATENATE("R9C",'R. Seguridad de la Información'!$U$62),"")</f>
        <v/>
      </c>
      <c r="P44" s="59" t="str">
        <f>IF(AND('R. Seguridad de la Información'!$AE$57="Baja",'R. Seguridad de la Información'!$AG$57="Menor"),CONCATENATE("R9C",'R. Seguridad de la Información'!$U$57),"")</f>
        <v/>
      </c>
      <c r="Q44" s="60" t="str">
        <f>IF(AND('R. Seguridad de la Información'!$AE$58="Baja",'R. Seguridad de la Información'!$AG$58="Menor"),CONCATENATE("R9C",'R. Seguridad de la Información'!$U$58),"")</f>
        <v/>
      </c>
      <c r="R44" s="60" t="str">
        <f>IF(AND('R. Seguridad de la Información'!$AE$59="Baja",'R. Seguridad de la Información'!$AG$59="Menor"),CONCATENATE("R9C",'R. Seguridad de la Información'!$U$59),"")</f>
        <v/>
      </c>
      <c r="S44" s="60" t="str">
        <f>IF(AND('R. Seguridad de la Información'!$AE$60="Baja",'R. Seguridad de la Información'!$AG$60="Menor"),CONCATENATE("R9C",'R. Seguridad de la Información'!$U$60),"")</f>
        <v/>
      </c>
      <c r="T44" s="60" t="str">
        <f>IF(AND('R. Seguridad de la Información'!$AE$61="Baja",'R. Seguridad de la Información'!$AG$61="Menor"),CONCATENATE("R9C",'R. Seguridad de la Información'!$U$61),"")</f>
        <v/>
      </c>
      <c r="U44" s="61" t="str">
        <f>IF(AND('R. Seguridad de la Información'!$AE$62="Baja",'R. Seguridad de la Información'!$AG$62="Menor"),CONCATENATE("R9C",'R. Seguridad de la Información'!$U$62),"")</f>
        <v/>
      </c>
      <c r="V44" s="59" t="str">
        <f>IF(AND('R. Seguridad de la Información'!$AE$57="Baja",'R. Seguridad de la Información'!$AG$57="Moderado"),CONCATENATE("R9C",'R. Seguridad de la Información'!$U$57),"")</f>
        <v/>
      </c>
      <c r="W44" s="60" t="str">
        <f>IF(AND('R. Seguridad de la Información'!$AE$58="Baja",'R. Seguridad de la Información'!$AG$58="Moderado"),CONCATENATE("R9C",'R. Seguridad de la Información'!$U$58),"")</f>
        <v/>
      </c>
      <c r="X44" s="60" t="str">
        <f>IF(AND('R. Seguridad de la Información'!$AE$59="Baja",'R. Seguridad de la Información'!$AG$59="Moderado"),CONCATENATE("R9C",'R. Seguridad de la Información'!$U$59),"")</f>
        <v/>
      </c>
      <c r="Y44" s="60" t="str">
        <f>IF(AND('R. Seguridad de la Información'!$AE$60="Baja",'R. Seguridad de la Información'!$AG$60="Moderado"),CONCATENATE("R9C",'R. Seguridad de la Información'!$U$60),"")</f>
        <v/>
      </c>
      <c r="Z44" s="60" t="str">
        <f>IF(AND('R. Seguridad de la Información'!$AE$61="Baja",'R. Seguridad de la Información'!$AG$61="Moderado"),CONCATENATE("R9C",'R. Seguridad de la Información'!$U$61),"")</f>
        <v/>
      </c>
      <c r="AA44" s="61" t="str">
        <f>IF(AND('R. Seguridad de la Información'!$AE$62="Baja",'R. Seguridad de la Información'!$AG$62="Moderado"),CONCATENATE("R9C",'R. Seguridad de la Información'!$U$62),"")</f>
        <v/>
      </c>
      <c r="AB44" s="43" t="str">
        <f>IF(AND('R. Seguridad de la Información'!$AE$57="Baja",'R. Seguridad de la Información'!$AG$57="Mayor"),CONCATENATE("R9C",'R. Seguridad de la Información'!$U$57),"")</f>
        <v/>
      </c>
      <c r="AC44" s="44" t="str">
        <f>IF(AND('R. Seguridad de la Información'!$AE$58="Baja",'R. Seguridad de la Información'!$AG$58="Mayor"),CONCATENATE("R9C",'R. Seguridad de la Información'!$U$58),"")</f>
        <v/>
      </c>
      <c r="AD44" s="49" t="str">
        <f>IF(AND('R. Seguridad de la Información'!$AE$59="Baja",'R. Seguridad de la Información'!$AG$59="Mayor"),CONCATENATE("R9C",'R. Seguridad de la Información'!$U$59),"")</f>
        <v/>
      </c>
      <c r="AE44" s="49" t="str">
        <f>IF(AND('R. Seguridad de la Información'!$AE$60="Baja",'R. Seguridad de la Información'!$AG$60="Mayor"),CONCATENATE("R9C",'R. Seguridad de la Información'!$U$60),"")</f>
        <v/>
      </c>
      <c r="AF44" s="49" t="str">
        <f>IF(AND('R. Seguridad de la Información'!$AE$61="Baja",'R. Seguridad de la Información'!$AG$61="Mayor"),CONCATENATE("R9C",'R. Seguridad de la Información'!$U$61),"")</f>
        <v/>
      </c>
      <c r="AG44" s="45" t="str">
        <f>IF(AND('R. Seguridad de la Información'!$AE$62="Baja",'R. Seguridad de la Información'!$AG$62="Mayor"),CONCATENATE("R9C",'R. Seguridad de la Información'!$U$62),"")</f>
        <v/>
      </c>
      <c r="AH44" s="46" t="str">
        <f>IF(AND('R. Seguridad de la Información'!$AE$57="Baja",'R. Seguridad de la Información'!$AG$57="Catastrófico"),CONCATENATE("R9C",'R. Seguridad de la Información'!$U$57),"")</f>
        <v/>
      </c>
      <c r="AI44" s="47" t="str">
        <f>IF(AND('R. Seguridad de la Información'!$AE$58="Baja",'R. Seguridad de la Información'!$AG$58="Catastrófico"),CONCATENATE("R9C",'R. Seguridad de la Información'!$U$58),"")</f>
        <v/>
      </c>
      <c r="AJ44" s="47" t="str">
        <f>IF(AND('R. Seguridad de la Información'!$AE$59="Baja",'R. Seguridad de la Información'!$AG$59="Catastrófico"),CONCATENATE("R9C",'R. Seguridad de la Información'!$U$59),"")</f>
        <v/>
      </c>
      <c r="AK44" s="47" t="str">
        <f>IF(AND('R. Seguridad de la Información'!$AE$60="Baja",'R. Seguridad de la Información'!$AG$60="Catastrófico"),CONCATENATE("R9C",'R. Seguridad de la Información'!$U$60),"")</f>
        <v/>
      </c>
      <c r="AL44" s="47" t="str">
        <f>IF(AND('R. Seguridad de la Información'!$AE$61="Baja",'R. Seguridad de la Información'!$AG$61="Catastrófico"),CONCATENATE("R9C",'R. Seguridad de la Información'!$U$61),"")</f>
        <v/>
      </c>
      <c r="AM44" s="48" t="str">
        <f>IF(AND('R. Seguridad de la Información'!$AE$62="Baja",'R. Seguridad de la Información'!$AG$62="Catastrófico"),CONCATENATE("R9C",'R. Seguridad de la Información'!$U$62),"")</f>
        <v/>
      </c>
      <c r="AN44" s="75"/>
      <c r="AO44" s="645"/>
      <c r="AP44" s="646"/>
      <c r="AQ44" s="646"/>
      <c r="AR44" s="646"/>
      <c r="AS44" s="646"/>
      <c r="AT44" s="647"/>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523"/>
      <c r="C45" s="523"/>
      <c r="D45" s="524"/>
      <c r="E45" s="626"/>
      <c r="F45" s="627"/>
      <c r="G45" s="627"/>
      <c r="H45" s="627"/>
      <c r="I45" s="627"/>
      <c r="J45" s="71" t="str">
        <f>IF(AND('R. Seguridad de la Información'!$AE$63="Baja",'R. Seguridad de la Información'!$AG$63="Leve"),CONCATENATE("R10C",'R. Seguridad de la Información'!$U$63),"")</f>
        <v/>
      </c>
      <c r="K45" s="72" t="str">
        <f>IF(AND('R. Seguridad de la Información'!$AE$64="Baja",'R. Seguridad de la Información'!$AG$64="Leve"),CONCATENATE("R10C",'R. Seguridad de la Información'!$U$64),"")</f>
        <v/>
      </c>
      <c r="L45" s="72" t="str">
        <f>IF(AND('R. Seguridad de la Información'!$AE$65="Baja",'R. Seguridad de la Información'!$AG$65="Leve"),CONCATENATE("R10C",'R. Seguridad de la Información'!$U$65),"")</f>
        <v/>
      </c>
      <c r="M45" s="72" t="str">
        <f>IF(AND('R. Seguridad de la Información'!$AE$66="Baja",'R. Seguridad de la Información'!$AG$66="Leve"),CONCATENATE("R10C",'R. Seguridad de la Información'!$U$66),"")</f>
        <v/>
      </c>
      <c r="N45" s="72" t="str">
        <f>IF(AND('R. Seguridad de la Información'!$AE$67="Baja",'R. Seguridad de la Información'!$AG$67="Leve"),CONCATENATE("R10C",'R. Seguridad de la Información'!$U$67),"")</f>
        <v/>
      </c>
      <c r="O45" s="73" t="str">
        <f>IF(AND('R. Seguridad de la Información'!$AE$68="Baja",'R. Seguridad de la Información'!$AG$68="Leve"),CONCATENATE("R10C",'R. Seguridad de la Información'!$U$68),"")</f>
        <v/>
      </c>
      <c r="P45" s="59" t="str">
        <f>IF(AND('R. Seguridad de la Información'!$AE$63="Baja",'R. Seguridad de la Información'!$AG$63="Menor"),CONCATENATE("R10C",'R. Seguridad de la Información'!$U$63),"")</f>
        <v/>
      </c>
      <c r="Q45" s="60" t="str">
        <f>IF(AND('R. Seguridad de la Información'!$AE$64="Baja",'R. Seguridad de la Información'!$AG$64="Menor"),CONCATENATE("R10C",'R. Seguridad de la Información'!$U$64),"")</f>
        <v/>
      </c>
      <c r="R45" s="60" t="str">
        <f>IF(AND('R. Seguridad de la Información'!$AE$65="Baja",'R. Seguridad de la Información'!$AG$65="Menor"),CONCATENATE("R10C",'R. Seguridad de la Información'!$U$65),"")</f>
        <v/>
      </c>
      <c r="S45" s="60" t="str">
        <f>IF(AND('R. Seguridad de la Información'!$AE$66="Baja",'R. Seguridad de la Información'!$AG$66="Menor"),CONCATENATE("R10C",'R. Seguridad de la Información'!$U$66),"")</f>
        <v/>
      </c>
      <c r="T45" s="60" t="str">
        <f>IF(AND('R. Seguridad de la Información'!$AE$67="Baja",'R. Seguridad de la Información'!$AG$67="Menor"),CONCATENATE("R10C",'R. Seguridad de la Información'!$U$67),"")</f>
        <v/>
      </c>
      <c r="U45" s="61" t="str">
        <f>IF(AND('R. Seguridad de la Información'!$AE$68="Baja",'R. Seguridad de la Información'!$AG$68="Menor"),CONCATENATE("R10C",'R. Seguridad de la Información'!$U$68),"")</f>
        <v/>
      </c>
      <c r="V45" s="62" t="str">
        <f>IF(AND('R. Seguridad de la Información'!$AE$63="Baja",'R. Seguridad de la Información'!$AG$63="Moderado"),CONCATENATE("R10C",'R. Seguridad de la Información'!$U$63),"")</f>
        <v/>
      </c>
      <c r="W45" s="63" t="str">
        <f>IF(AND('R. Seguridad de la Información'!$AE$64="Baja",'R. Seguridad de la Información'!$AG$64="Moderado"),CONCATENATE("R10C",'R. Seguridad de la Información'!$U$64),"")</f>
        <v/>
      </c>
      <c r="X45" s="63" t="str">
        <f>IF(AND('R. Seguridad de la Información'!$AE$65="Baja",'R. Seguridad de la Información'!$AG$65="Moderado"),CONCATENATE("R10C",'R. Seguridad de la Información'!$U$65),"")</f>
        <v/>
      </c>
      <c r="Y45" s="63" t="str">
        <f>IF(AND('R. Seguridad de la Información'!$AE$66="Baja",'R. Seguridad de la Información'!$AG$66="Moderado"),CONCATENATE("R10C",'R. Seguridad de la Información'!$U$66),"")</f>
        <v/>
      </c>
      <c r="Z45" s="63" t="str">
        <f>IF(AND('R. Seguridad de la Información'!$AE$67="Baja",'R. Seguridad de la Información'!$AG$67="Moderado"),CONCATENATE("R10C",'R. Seguridad de la Información'!$U$67),"")</f>
        <v/>
      </c>
      <c r="AA45" s="64" t="str">
        <f>IF(AND('R. Seguridad de la Información'!$AE$68="Baja",'R. Seguridad de la Información'!$AG$68="Moderado"),CONCATENATE("R10C",'R. Seguridad de la Información'!$U$68),"")</f>
        <v/>
      </c>
      <c r="AB45" s="50" t="str">
        <f>IF(AND('R. Seguridad de la Información'!$AE$63="Baja",'R. Seguridad de la Información'!$AG$63="Mayor"),CONCATENATE("R10C",'R. Seguridad de la Información'!$U$63),"")</f>
        <v/>
      </c>
      <c r="AC45" s="51" t="str">
        <f>IF(AND('R. Seguridad de la Información'!$AE$64="Baja",'R. Seguridad de la Información'!$AG$64="Mayor"),CONCATENATE("R10C",'R. Seguridad de la Información'!$U$64),"")</f>
        <v/>
      </c>
      <c r="AD45" s="51" t="str">
        <f>IF(AND('R. Seguridad de la Información'!$AE$65="Baja",'R. Seguridad de la Información'!$AG$65="Mayor"),CONCATENATE("R10C",'R. Seguridad de la Información'!$U$65),"")</f>
        <v/>
      </c>
      <c r="AE45" s="51" t="str">
        <f>IF(AND('R. Seguridad de la Información'!$AE$66="Baja",'R. Seguridad de la Información'!$AG$66="Mayor"),CONCATENATE("R10C",'R. Seguridad de la Información'!$U$66),"")</f>
        <v/>
      </c>
      <c r="AF45" s="51" t="str">
        <f>IF(AND('R. Seguridad de la Información'!$AE$67="Baja",'R. Seguridad de la Información'!$AG$67="Mayor"),CONCATENATE("R10C",'R. Seguridad de la Información'!$U$67),"")</f>
        <v/>
      </c>
      <c r="AG45" s="52" t="str">
        <f>IF(AND('R. Seguridad de la Información'!$AE$68="Baja",'R. Seguridad de la Información'!$AG$68="Mayor"),CONCATENATE("R10C",'R. Seguridad de la Información'!$U$68),"")</f>
        <v/>
      </c>
      <c r="AH45" s="53" t="str">
        <f>IF(AND('R. Seguridad de la Información'!$AE$63="Baja",'R. Seguridad de la Información'!$AG$63="Catastrófico"),CONCATENATE("R10C",'R. Seguridad de la Información'!$U$63),"")</f>
        <v/>
      </c>
      <c r="AI45" s="54" t="str">
        <f>IF(AND('R. Seguridad de la Información'!$AE$64="Baja",'R. Seguridad de la Información'!$AG$64="Catastrófico"),CONCATENATE("R10C",'R. Seguridad de la Información'!$U$64),"")</f>
        <v/>
      </c>
      <c r="AJ45" s="54" t="str">
        <f>IF(AND('R. Seguridad de la Información'!$AE$65="Baja",'R. Seguridad de la Información'!$AG$65="Catastrófico"),CONCATENATE("R10C",'R. Seguridad de la Información'!$U$65),"")</f>
        <v/>
      </c>
      <c r="AK45" s="54" t="str">
        <f>IF(AND('R. Seguridad de la Información'!$AE$66="Baja",'R. Seguridad de la Información'!$AG$66="Catastrófico"),CONCATENATE("R10C",'R. Seguridad de la Información'!$U$66),"")</f>
        <v/>
      </c>
      <c r="AL45" s="54" t="str">
        <f>IF(AND('R. Seguridad de la Información'!$AE$67="Baja",'R. Seguridad de la Información'!$AG$67="Catastrófico"),CONCATENATE("R10C",'R. Seguridad de la Información'!$U$67),"")</f>
        <v/>
      </c>
      <c r="AM45" s="55" t="str">
        <f>IF(AND('R. Seguridad de la Información'!$AE$68="Baja",'R. Seguridad de la Información'!$AG$68="Catastrófico"),CONCATENATE("R10C",'R. Seguridad de la Información'!$U$68),"")</f>
        <v/>
      </c>
      <c r="AN45" s="75"/>
      <c r="AO45" s="648"/>
      <c r="AP45" s="649"/>
      <c r="AQ45" s="649"/>
      <c r="AR45" s="649"/>
      <c r="AS45" s="649"/>
      <c r="AT45" s="650"/>
    </row>
    <row r="46" spans="1:80" ht="46.5" customHeight="1" x14ac:dyDescent="0.35">
      <c r="A46" s="75"/>
      <c r="B46" s="523"/>
      <c r="C46" s="523"/>
      <c r="D46" s="524"/>
      <c r="E46" s="620" t="s">
        <v>102</v>
      </c>
      <c r="F46" s="621"/>
      <c r="G46" s="621"/>
      <c r="H46" s="621"/>
      <c r="I46" s="639"/>
      <c r="J46" s="65" t="str">
        <f>IF(AND('R. Seguridad de la Información'!$AE$9="Muy Baja",'R. Seguridad de la Información'!$AG$9="Leve"),CONCATENATE("R1C",'R. Seguridad de la Información'!$U$9),"")</f>
        <v/>
      </c>
      <c r="K46" s="66" t="str">
        <f>IF(AND('R. Seguridad de la Información'!$AE$10="Muy Baja",'R. Seguridad de la Información'!$AG$10="Leve"),CONCATENATE("R1C",'R. Seguridad de la Información'!$U$10),"")</f>
        <v/>
      </c>
      <c r="L46" s="66" t="str">
        <f>IF(AND('R. Seguridad de la Información'!$AE$11="Muy Baja",'R. Seguridad de la Información'!$AG$11="Leve"),CONCATENATE("R1C",'R. Seguridad de la Información'!$U$11),"")</f>
        <v/>
      </c>
      <c r="M46" s="66" t="str">
        <f>IF(AND('R. Seguridad de la Información'!$AE$12="Muy Baja",'R. Seguridad de la Información'!$AG$12="Leve"),CONCATENATE("R1C",'R. Seguridad de la Información'!$U$12),"")</f>
        <v/>
      </c>
      <c r="N46" s="66" t="str">
        <f>IF(AND('R. Seguridad de la Información'!$AE$13="Muy Baja",'R. Seguridad de la Información'!$AG$13="Leve"),CONCATENATE("R1C",'R. Seguridad de la Información'!$U$13),"")</f>
        <v/>
      </c>
      <c r="O46" s="67" t="str">
        <f>IF(AND('R. Seguridad de la Información'!$AE$14="Muy Baja",'R. Seguridad de la Información'!$AG$14="Leve"),CONCATENATE("R1C",'R. Seguridad de la Información'!$U$14),"")</f>
        <v/>
      </c>
      <c r="P46" s="65" t="str">
        <f>IF(AND('R. Seguridad de la Información'!$AE$9="Muy Baja",'R. Seguridad de la Información'!$AG$9="Menor"),CONCATENATE("R1C",'R. Seguridad de la Información'!$U$9),"")</f>
        <v/>
      </c>
      <c r="Q46" s="66" t="str">
        <f>IF(AND('R. Seguridad de la Información'!$AE$10="Muy Baja",'R. Seguridad de la Información'!$AG$10="Menor"),CONCATENATE("R1C",'R. Seguridad de la Información'!$U$10),"")</f>
        <v/>
      </c>
      <c r="R46" s="66" t="str">
        <f>IF(AND('R. Seguridad de la Información'!$AE$11="Muy Baja",'R. Seguridad de la Información'!$AG$11="Menor"),CONCATENATE("R1C",'R. Seguridad de la Información'!$U$11),"")</f>
        <v/>
      </c>
      <c r="S46" s="66" t="str">
        <f>IF(AND('R. Seguridad de la Información'!$AE$12="Muy Baja",'R. Seguridad de la Información'!$AG$12="Menor"),CONCATENATE("R1C",'R. Seguridad de la Información'!$U$12),"")</f>
        <v/>
      </c>
      <c r="T46" s="66" t="str">
        <f>IF(AND('R. Seguridad de la Información'!$AE$13="Muy Baja",'R. Seguridad de la Información'!$AG$13="Menor"),CONCATENATE("R1C",'R. Seguridad de la Información'!$U$13),"")</f>
        <v/>
      </c>
      <c r="U46" s="67" t="str">
        <f>IF(AND('R. Seguridad de la Información'!$AE$14="Muy Baja",'R. Seguridad de la Información'!$AG$14="Menor"),CONCATENATE("R1C",'R. Seguridad de la Información'!$U$14),"")</f>
        <v/>
      </c>
      <c r="V46" s="56" t="str">
        <f>IF(AND('R. Seguridad de la Información'!$AE$9="Muy Baja",'R. Seguridad de la Información'!$AG$9="Moderado"),CONCATENATE("R1C",'R. Seguridad de la Información'!$U$9),"")</f>
        <v/>
      </c>
      <c r="W46" s="74" t="str">
        <f>IF(AND('R. Seguridad de la Información'!$AE$10="Muy Baja",'R. Seguridad de la Información'!$AG$10="Moderado"),CONCATENATE("R1C",'R. Seguridad de la Información'!$U$10),"")</f>
        <v/>
      </c>
      <c r="X46" s="57" t="str">
        <f>IF(AND('R. Seguridad de la Información'!$AE$11="Muy Baja",'R. Seguridad de la Información'!$AG$11="Moderado"),CONCATENATE("R1C",'R. Seguridad de la Información'!$U$11),"")</f>
        <v/>
      </c>
      <c r="Y46" s="57" t="str">
        <f>IF(AND('R. Seguridad de la Información'!$AE$12="Muy Baja",'R. Seguridad de la Información'!$AG$12="Moderado"),CONCATENATE("R1C",'R. Seguridad de la Información'!$U$12),"")</f>
        <v/>
      </c>
      <c r="Z46" s="57" t="str">
        <f>IF(AND('R. Seguridad de la Información'!$AE$13="Muy Baja",'R. Seguridad de la Información'!$AG$13="Moderado"),CONCATENATE("R1C",'R. Seguridad de la Información'!$U$13),"")</f>
        <v/>
      </c>
      <c r="AA46" s="58" t="str">
        <f>IF(AND('R. Seguridad de la Información'!$AE$14="Muy Baja",'R. Seguridad de la Información'!$AG$14="Moderado"),CONCATENATE("R1C",'R. Seguridad de la Información'!$U$14),"")</f>
        <v/>
      </c>
      <c r="AB46" s="37" t="str">
        <f>IF(AND('R. Seguridad de la Información'!$AE$9="Muy Baja",'R. Seguridad de la Información'!$AG$9="Mayor"),CONCATENATE("R1C",'R. Seguridad de la Información'!$U$9),"")</f>
        <v/>
      </c>
      <c r="AC46" s="38" t="str">
        <f>IF(AND('R. Seguridad de la Información'!$AE$10="Muy Baja",'R. Seguridad de la Información'!$AG$10="Mayor"),CONCATENATE("R1C",'R. Seguridad de la Información'!$U$10),"")</f>
        <v/>
      </c>
      <c r="AD46" s="38" t="str">
        <f>IF(AND('R. Seguridad de la Información'!$AE$11="Muy Baja",'R. Seguridad de la Información'!$AG$11="Mayor"),CONCATENATE("R1C",'R. Seguridad de la Información'!$U$11),"")</f>
        <v/>
      </c>
      <c r="AE46" s="38" t="str">
        <f>IF(AND('R. Seguridad de la Información'!$AE$12="Muy Baja",'R. Seguridad de la Información'!$AG$12="Mayor"),CONCATENATE("R1C",'R. Seguridad de la Información'!$U$12),"")</f>
        <v/>
      </c>
      <c r="AF46" s="38" t="str">
        <f>IF(AND('R. Seguridad de la Información'!$AE$13="Muy Baja",'R. Seguridad de la Información'!$AG$13="Mayor"),CONCATENATE("R1C",'R. Seguridad de la Información'!$U$13),"")</f>
        <v/>
      </c>
      <c r="AG46" s="39" t="str">
        <f>IF(AND('R. Seguridad de la Información'!$AE$14="Muy Baja",'R. Seguridad de la Información'!$AG$14="Mayor"),CONCATENATE("R1C",'R. Seguridad de la Información'!$U$14),"")</f>
        <v/>
      </c>
      <c r="AH46" s="40" t="str">
        <f>IF(AND('R. Seguridad de la Información'!$AE$9="Muy Baja",'R. Seguridad de la Información'!$AG$9="Catastrófico"),CONCATENATE("R1C",'R. Seguridad de la Información'!$U$9),"")</f>
        <v/>
      </c>
      <c r="AI46" s="41" t="str">
        <f>IF(AND('R. Seguridad de la Información'!$AE$10="Muy Baja",'R. Seguridad de la Información'!$AG$10="Catastrófico"),CONCATENATE("R1C",'R. Seguridad de la Información'!$U$10),"")</f>
        <v/>
      </c>
      <c r="AJ46" s="41" t="str">
        <f>IF(AND('R. Seguridad de la Información'!$AE$11="Muy Baja",'R. Seguridad de la Información'!$AG$11="Catastrófico"),CONCATENATE("R1C",'R. Seguridad de la Información'!$U$11),"")</f>
        <v/>
      </c>
      <c r="AK46" s="41" t="str">
        <f>IF(AND('R. Seguridad de la Información'!$AE$12="Muy Baja",'R. Seguridad de la Información'!$AG$12="Catastrófico"),CONCATENATE("R1C",'R. Seguridad de la Información'!$U$12),"")</f>
        <v/>
      </c>
      <c r="AL46" s="41" t="str">
        <f>IF(AND('R. Seguridad de la Información'!$AE$13="Muy Baja",'R. Seguridad de la Información'!$AG$13="Catastrófico"),CONCATENATE("R1C",'R. Seguridad de la Información'!$U$13),"")</f>
        <v/>
      </c>
      <c r="AM46" s="42" t="str">
        <f>IF(AND('R. Seguridad de la Información'!$AE$14="Muy Baja",'R. Seguridad de la Información'!$AG$14="Catastrófico"),CONCATENATE("R1C",'R. Seguridad de la Información'!$U$14),"")</f>
        <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523"/>
      <c r="C47" s="523"/>
      <c r="D47" s="524"/>
      <c r="E47" s="622"/>
      <c r="F47" s="623"/>
      <c r="G47" s="623"/>
      <c r="H47" s="623"/>
      <c r="I47" s="640"/>
      <c r="J47" s="68" t="str">
        <f>IF(AND('R. Seguridad de la Información'!$AE$15="Muy Baja",'R. Seguridad de la Información'!$AG$15="Leve"),CONCATENATE("R2C",'R. Seguridad de la Información'!$U$15),"")</f>
        <v/>
      </c>
      <c r="K47" s="69" t="str">
        <f>IF(AND('R. Seguridad de la Información'!$AE$16="Muy Baja",'R. Seguridad de la Información'!$AG$16="Leve"),CONCATENATE("R2C",'R. Seguridad de la Información'!$U$16),"")</f>
        <v/>
      </c>
      <c r="L47" s="69" t="str">
        <f>IF(AND('R. Seguridad de la Información'!$AE$17="Muy Baja",'R. Seguridad de la Información'!$AG$17="Leve"),CONCATENATE("R2C",'R. Seguridad de la Información'!$U$17),"")</f>
        <v/>
      </c>
      <c r="M47" s="69" t="str">
        <f>IF(AND('R. Seguridad de la Información'!$AE$18="Muy Baja",'R. Seguridad de la Información'!$AG$18="Leve"),CONCATENATE("R2C",'R. Seguridad de la Información'!$U$18),"")</f>
        <v/>
      </c>
      <c r="N47" s="69" t="str">
        <f>IF(AND('R. Seguridad de la Información'!$AE$19="Muy Baja",'R. Seguridad de la Información'!$AG$19="Leve"),CONCATENATE("R2C",'R. Seguridad de la Información'!$U$19),"")</f>
        <v/>
      </c>
      <c r="O47" s="70" t="str">
        <f>IF(AND('R. Seguridad de la Información'!$AE$20="Muy Baja",'R. Seguridad de la Información'!$AG$20="Leve"),CONCATENATE("R2C",'R. Seguridad de la Información'!$U$20),"")</f>
        <v/>
      </c>
      <c r="P47" s="68" t="str">
        <f>IF(AND('R. Seguridad de la Información'!$AE$15="Muy Baja",'R. Seguridad de la Información'!$AG$15="Menor"),CONCATENATE("R2C",'R. Seguridad de la Información'!$U$15),"")</f>
        <v/>
      </c>
      <c r="Q47" s="69" t="str">
        <f>IF(AND('R. Seguridad de la Información'!$AE$16="Muy Baja",'R. Seguridad de la Información'!$AG$16="Menor"),CONCATENATE("R2C",'R. Seguridad de la Información'!$U$16),"")</f>
        <v/>
      </c>
      <c r="R47" s="69" t="str">
        <f>IF(AND('R. Seguridad de la Información'!$AE$17="Muy Baja",'R. Seguridad de la Información'!$AG$17="Menor"),CONCATENATE("R2C",'R. Seguridad de la Información'!$U$17),"")</f>
        <v/>
      </c>
      <c r="S47" s="69" t="str">
        <f>IF(AND('R. Seguridad de la Información'!$AE$18="Muy Baja",'R. Seguridad de la Información'!$AG$18="Menor"),CONCATENATE("R2C",'R. Seguridad de la Información'!$U$18),"")</f>
        <v/>
      </c>
      <c r="T47" s="69" t="str">
        <f>IF(AND('R. Seguridad de la Información'!$AE$19="Muy Baja",'R. Seguridad de la Información'!$AG$19="Menor"),CONCATENATE("R2C",'R. Seguridad de la Información'!$U$19),"")</f>
        <v/>
      </c>
      <c r="U47" s="70" t="str">
        <f>IF(AND('R. Seguridad de la Información'!$AE$20="Muy Baja",'R. Seguridad de la Información'!$AG$20="Menor"),CONCATENATE("R2C",'R. Seguridad de la Información'!$U$20),"")</f>
        <v/>
      </c>
      <c r="V47" s="59" t="str">
        <f>IF(AND('R. Seguridad de la Información'!$AE$15="Muy Baja",'R. Seguridad de la Información'!$AG$15="Moderado"),CONCATENATE("R2C",'R. Seguridad de la Información'!$U$15),"")</f>
        <v/>
      </c>
      <c r="W47" s="60" t="str">
        <f>IF(AND('R. Seguridad de la Información'!$AE$16="Muy Baja",'R. Seguridad de la Información'!$AG$16="Moderado"),CONCATENATE("R2C",'R. Seguridad de la Información'!$U$16),"")</f>
        <v/>
      </c>
      <c r="X47" s="60" t="str">
        <f>IF(AND('R. Seguridad de la Información'!$AE$17="Muy Baja",'R. Seguridad de la Información'!$AG$17="Moderado"),CONCATENATE("R2C",'R. Seguridad de la Información'!$U$17),"")</f>
        <v/>
      </c>
      <c r="Y47" s="60" t="str">
        <f>IF(AND('R. Seguridad de la Información'!$AE$18="Muy Baja",'R. Seguridad de la Información'!$AG$18="Moderado"),CONCATENATE("R2C",'R. Seguridad de la Información'!$U$18),"")</f>
        <v/>
      </c>
      <c r="Z47" s="60" t="str">
        <f>IF(AND('R. Seguridad de la Información'!$AE$19="Muy Baja",'R. Seguridad de la Información'!$AG$19="Moderado"),CONCATENATE("R2C",'R. Seguridad de la Información'!$U$19),"")</f>
        <v/>
      </c>
      <c r="AA47" s="61" t="str">
        <f>IF(AND('R. Seguridad de la Información'!$AE$20="Muy Baja",'R. Seguridad de la Información'!$AG$20="Moderado"),CONCATENATE("R2C",'R. Seguridad de la Información'!$U$20),"")</f>
        <v/>
      </c>
      <c r="AB47" s="43" t="str">
        <f>IF(AND('R. Seguridad de la Información'!$AE$15="Muy Baja",'R. Seguridad de la Información'!$AG$15="Mayor"),CONCATENATE("R2C",'R. Seguridad de la Información'!$U$15),"")</f>
        <v/>
      </c>
      <c r="AC47" s="44" t="str">
        <f>IF(AND('R. Seguridad de la Información'!$AE$16="Muy Baja",'R. Seguridad de la Información'!$AG$16="Mayor"),CONCATENATE("R2C",'R. Seguridad de la Información'!$U$16),"")</f>
        <v/>
      </c>
      <c r="AD47" s="44" t="str">
        <f>IF(AND('R. Seguridad de la Información'!$AE$17="Muy Baja",'R. Seguridad de la Información'!$AG$17="Mayor"),CONCATENATE("R2C",'R. Seguridad de la Información'!$U$17),"")</f>
        <v/>
      </c>
      <c r="AE47" s="44" t="str">
        <f>IF(AND('R. Seguridad de la Información'!$AE$18="Muy Baja",'R. Seguridad de la Información'!$AG$18="Mayor"),CONCATENATE("R2C",'R. Seguridad de la Información'!$U$18),"")</f>
        <v/>
      </c>
      <c r="AF47" s="44" t="str">
        <f>IF(AND('R. Seguridad de la Información'!$AE$19="Muy Baja",'R. Seguridad de la Información'!$AG$19="Mayor"),CONCATENATE("R2C",'R. Seguridad de la Información'!$U$19),"")</f>
        <v/>
      </c>
      <c r="AG47" s="45" t="str">
        <f>IF(AND('R. Seguridad de la Información'!$AE$20="Muy Baja",'R. Seguridad de la Información'!$AG$20="Mayor"),CONCATENATE("R2C",'R. Seguridad de la Información'!$U$20),"")</f>
        <v/>
      </c>
      <c r="AH47" s="46" t="str">
        <f>IF(AND('R. Seguridad de la Información'!$AE$15="Muy Baja",'R. Seguridad de la Información'!$AG$15="Catastrófico"),CONCATENATE("R2C",'R. Seguridad de la Información'!$U$15),"")</f>
        <v/>
      </c>
      <c r="AI47" s="47" t="str">
        <f>IF(AND('R. Seguridad de la Información'!$AE$16="Muy Baja",'R. Seguridad de la Información'!$AG$16="Catastrófico"),CONCATENATE("R2C",'R. Seguridad de la Información'!$U$16),"")</f>
        <v/>
      </c>
      <c r="AJ47" s="47" t="str">
        <f>IF(AND('R. Seguridad de la Información'!$AE$17="Muy Baja",'R. Seguridad de la Información'!$AG$17="Catastrófico"),CONCATENATE("R2C",'R. Seguridad de la Información'!$U$17),"")</f>
        <v/>
      </c>
      <c r="AK47" s="47" t="str">
        <f>IF(AND('R. Seguridad de la Información'!$AE$18="Muy Baja",'R. Seguridad de la Información'!$AG$18="Catastrófico"),CONCATENATE("R2C",'R. Seguridad de la Información'!$U$18),"")</f>
        <v/>
      </c>
      <c r="AL47" s="47" t="str">
        <f>IF(AND('R. Seguridad de la Información'!$AE$19="Muy Baja",'R. Seguridad de la Información'!$AG$19="Catastrófico"),CONCATENATE("R2C",'R. Seguridad de la Información'!$U$19),"")</f>
        <v/>
      </c>
      <c r="AM47" s="48" t="str">
        <f>IF(AND('R. Seguridad de la Información'!$AE$20="Muy Baja",'R. Seguridad de la Información'!$AG$20="Catastrófico"),CONCATENATE("R2C",'R. Seguridad de la Información'!$U$20),"")</f>
        <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523"/>
      <c r="C48" s="523"/>
      <c r="D48" s="524"/>
      <c r="E48" s="622"/>
      <c r="F48" s="623"/>
      <c r="G48" s="623"/>
      <c r="H48" s="623"/>
      <c r="I48" s="640"/>
      <c r="J48" s="68" t="str">
        <f>IF(AND('R. Seguridad de la Información'!$AE$21="Muy Baja",'R. Seguridad de la Información'!$AG$21="Leve"),CONCATENATE("R3C",'R. Seguridad de la Información'!$U$21),"")</f>
        <v/>
      </c>
      <c r="K48" s="69" t="str">
        <f>IF(AND('R. Seguridad de la Información'!$AE$22="Muy Baja",'R. Seguridad de la Información'!$AG$22="Leve"),CONCATENATE("R3C",'R. Seguridad de la Información'!$U$22),"")</f>
        <v/>
      </c>
      <c r="L48" s="69" t="str">
        <f>IF(AND('R. Seguridad de la Información'!$AE$23="Muy Baja",'R. Seguridad de la Información'!$AG$23="Leve"),CONCATENATE("R3C",'R. Seguridad de la Información'!$U$23),"")</f>
        <v/>
      </c>
      <c r="M48" s="69" t="str">
        <f>IF(AND('R. Seguridad de la Información'!$AE$24="Muy Baja",'R. Seguridad de la Información'!$AG$24="Leve"),CONCATENATE("R3C",'R. Seguridad de la Información'!$U$24),"")</f>
        <v/>
      </c>
      <c r="N48" s="69" t="str">
        <f>IF(AND('R. Seguridad de la Información'!$AE$25="Muy Baja",'R. Seguridad de la Información'!$AG$25="Leve"),CONCATENATE("R3C",'R. Seguridad de la Información'!$U$25),"")</f>
        <v/>
      </c>
      <c r="O48" s="70" t="str">
        <f>IF(AND('R. Seguridad de la Información'!$AE$26="Muy Baja",'R. Seguridad de la Información'!$AG$26="Leve"),CONCATENATE("R3C",'R. Seguridad de la Información'!$U$26),"")</f>
        <v/>
      </c>
      <c r="P48" s="68" t="str">
        <f>IF(AND('R. Seguridad de la Información'!$AE$21="Muy Baja",'R. Seguridad de la Información'!$AG$21="Menor"),CONCATENATE("R3C",'R. Seguridad de la Información'!$U$21),"")</f>
        <v/>
      </c>
      <c r="Q48" s="69" t="str">
        <f>IF(AND('R. Seguridad de la Información'!$AE$22="Muy Baja",'R. Seguridad de la Información'!$AG$22="Menor"),CONCATENATE("R3C",'R. Seguridad de la Información'!$U$22),"")</f>
        <v/>
      </c>
      <c r="R48" s="69" t="str">
        <f>IF(AND('R. Seguridad de la Información'!$AE$23="Muy Baja",'R. Seguridad de la Información'!$AG$23="Menor"),CONCATENATE("R3C",'R. Seguridad de la Información'!$U$23),"")</f>
        <v/>
      </c>
      <c r="S48" s="69" t="str">
        <f>IF(AND('R. Seguridad de la Información'!$AE$24="Muy Baja",'R. Seguridad de la Información'!$AG$24="Menor"),CONCATENATE("R3C",'R. Seguridad de la Información'!$U$24),"")</f>
        <v/>
      </c>
      <c r="T48" s="69" t="str">
        <f>IF(AND('R. Seguridad de la Información'!$AE$25="Muy Baja",'R. Seguridad de la Información'!$AG$25="Menor"),CONCATENATE("R3C",'R. Seguridad de la Información'!$U$25),"")</f>
        <v/>
      </c>
      <c r="U48" s="70" t="str">
        <f>IF(AND('R. Seguridad de la Información'!$AE$26="Muy Baja",'R. Seguridad de la Información'!$AG$26="Menor"),CONCATENATE("R3C",'R. Seguridad de la Información'!$U$26),"")</f>
        <v/>
      </c>
      <c r="V48" s="59" t="str">
        <f>IF(AND('R. Seguridad de la Información'!$AE$21="Muy Baja",'R. Seguridad de la Información'!$AG$21="Moderado"),CONCATENATE("R3C",'R. Seguridad de la Información'!$U$21),"")</f>
        <v/>
      </c>
      <c r="W48" s="60" t="str">
        <f>IF(AND('R. Seguridad de la Información'!$AE$22="Muy Baja",'R. Seguridad de la Información'!$AG$22="Moderado"),CONCATENATE("R3C",'R. Seguridad de la Información'!$U$22),"")</f>
        <v/>
      </c>
      <c r="X48" s="60" t="str">
        <f>IF(AND('R. Seguridad de la Información'!$AE$23="Muy Baja",'R. Seguridad de la Información'!$AG$23="Moderado"),CONCATENATE("R3C",'R. Seguridad de la Información'!$U$23),"")</f>
        <v/>
      </c>
      <c r="Y48" s="60" t="str">
        <f>IF(AND('R. Seguridad de la Información'!$AE$24="Muy Baja",'R. Seguridad de la Información'!$AG$24="Moderado"),CONCATENATE("R3C",'R. Seguridad de la Información'!$U$24),"")</f>
        <v/>
      </c>
      <c r="Z48" s="60" t="str">
        <f>IF(AND('R. Seguridad de la Información'!$AE$25="Muy Baja",'R. Seguridad de la Información'!$AG$25="Moderado"),CONCATENATE("R3C",'R. Seguridad de la Información'!$U$25),"")</f>
        <v/>
      </c>
      <c r="AA48" s="61" t="str">
        <f>IF(AND('R. Seguridad de la Información'!$AE$26="Muy Baja",'R. Seguridad de la Información'!$AG$26="Moderado"),CONCATENATE("R3C",'R. Seguridad de la Información'!$U$26),"")</f>
        <v/>
      </c>
      <c r="AB48" s="43" t="str">
        <f>IF(AND('R. Seguridad de la Información'!$AE$21="Muy Baja",'R. Seguridad de la Información'!$AG$21="Mayor"),CONCATENATE("R3C",'R. Seguridad de la Información'!$U$21),"")</f>
        <v/>
      </c>
      <c r="AC48" s="44" t="str">
        <f>IF(AND('R. Seguridad de la Información'!$AE$22="Muy Baja",'R. Seguridad de la Información'!$AG$22="Mayor"),CONCATENATE("R3C",'R. Seguridad de la Información'!$U$22),"")</f>
        <v/>
      </c>
      <c r="AD48" s="44" t="str">
        <f>IF(AND('R. Seguridad de la Información'!$AE$23="Muy Baja",'R. Seguridad de la Información'!$AG$23="Mayor"),CONCATENATE("R3C",'R. Seguridad de la Información'!$U$23),"")</f>
        <v/>
      </c>
      <c r="AE48" s="44" t="str">
        <f>IF(AND('R. Seguridad de la Información'!$AE$24="Muy Baja",'R. Seguridad de la Información'!$AG$24="Mayor"),CONCATENATE("R3C",'R. Seguridad de la Información'!$U$24),"")</f>
        <v/>
      </c>
      <c r="AF48" s="44" t="str">
        <f>IF(AND('R. Seguridad de la Información'!$AE$25="Muy Baja",'R. Seguridad de la Información'!$AG$25="Mayor"),CONCATENATE("R3C",'R. Seguridad de la Información'!$U$25),"")</f>
        <v/>
      </c>
      <c r="AG48" s="45" t="str">
        <f>IF(AND('R. Seguridad de la Información'!$AE$26="Muy Baja",'R. Seguridad de la Información'!$AG$26="Mayor"),CONCATENATE("R3C",'R. Seguridad de la Información'!$U$26),"")</f>
        <v/>
      </c>
      <c r="AH48" s="46" t="str">
        <f>IF(AND('R. Seguridad de la Información'!$AE$21="Muy Baja",'R. Seguridad de la Información'!$AG$21="Catastrófico"),CONCATENATE("R3C",'R. Seguridad de la Información'!$U$21),"")</f>
        <v/>
      </c>
      <c r="AI48" s="47" t="str">
        <f>IF(AND('R. Seguridad de la Información'!$AE$22="Muy Baja",'R. Seguridad de la Información'!$AG$22="Catastrófico"),CONCATENATE("R3C",'R. Seguridad de la Información'!$U$22),"")</f>
        <v/>
      </c>
      <c r="AJ48" s="47" t="str">
        <f>IF(AND('R. Seguridad de la Información'!$AE$23="Muy Baja",'R. Seguridad de la Información'!$AG$23="Catastrófico"),CONCATENATE("R3C",'R. Seguridad de la Información'!$U$23),"")</f>
        <v/>
      </c>
      <c r="AK48" s="47" t="str">
        <f>IF(AND('R. Seguridad de la Información'!$AE$24="Muy Baja",'R. Seguridad de la Información'!$AG$24="Catastrófico"),CONCATENATE("R3C",'R. Seguridad de la Información'!$U$24),"")</f>
        <v/>
      </c>
      <c r="AL48" s="47" t="str">
        <f>IF(AND('R. Seguridad de la Información'!$AE$25="Muy Baja",'R. Seguridad de la Información'!$AG$25="Catastrófico"),CONCATENATE("R3C",'R. Seguridad de la Información'!$U$25),"")</f>
        <v/>
      </c>
      <c r="AM48" s="48" t="str">
        <f>IF(AND('R. Seguridad de la Información'!$AE$26="Muy Baja",'R. Seguridad de la Información'!$AG$26="Catastrófico"),CONCATENATE("R3C",'R. Seguridad de la Información'!$U$26),"")</f>
        <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523"/>
      <c r="C49" s="523"/>
      <c r="D49" s="524"/>
      <c r="E49" s="624"/>
      <c r="F49" s="625"/>
      <c r="G49" s="625"/>
      <c r="H49" s="625"/>
      <c r="I49" s="640"/>
      <c r="J49" s="68" t="str">
        <f>IF(AND('R. Seguridad de la Información'!$AE$27="Muy Baja",'R. Seguridad de la Información'!$AG$27="Leve"),CONCATENATE("R4C",'R. Seguridad de la Información'!$U$27),"")</f>
        <v/>
      </c>
      <c r="K49" s="69" t="str">
        <f>IF(AND('R. Seguridad de la Información'!$AE$28="Muy Baja",'R. Seguridad de la Información'!$AG$28="Leve"),CONCATENATE("R4C",'R. Seguridad de la Información'!$U$28),"")</f>
        <v/>
      </c>
      <c r="L49" s="69" t="str">
        <f>IF(AND('R. Seguridad de la Información'!$AE$29="Muy Baja",'R. Seguridad de la Información'!$AG$29="Leve"),CONCATENATE("R4C",'R. Seguridad de la Información'!$U$29),"")</f>
        <v/>
      </c>
      <c r="M49" s="69" t="str">
        <f>IF(AND('R. Seguridad de la Información'!$AE$30="Muy Baja",'R. Seguridad de la Información'!$AG$30="Leve"),CONCATENATE("R4C",'R. Seguridad de la Información'!$U$30),"")</f>
        <v/>
      </c>
      <c r="N49" s="69" t="str">
        <f>IF(AND('R. Seguridad de la Información'!$AE$31="Muy Baja",'R. Seguridad de la Información'!$AG$31="Leve"),CONCATENATE("R4C",'R. Seguridad de la Información'!$U$31),"")</f>
        <v/>
      </c>
      <c r="O49" s="70" t="str">
        <f>IF(AND('R. Seguridad de la Información'!$AE$32="Muy Baja",'R. Seguridad de la Información'!$AG$32="Leve"),CONCATENATE("R4C",'R. Seguridad de la Información'!$U$32),"")</f>
        <v/>
      </c>
      <c r="P49" s="68" t="str">
        <f>IF(AND('R. Seguridad de la Información'!$AE$27="Muy Baja",'R. Seguridad de la Información'!$AG$27="Menor"),CONCATENATE("R4C",'R. Seguridad de la Información'!$U$27),"")</f>
        <v/>
      </c>
      <c r="Q49" s="69" t="str">
        <f>IF(AND('R. Seguridad de la Información'!$AE$28="Muy Baja",'R. Seguridad de la Información'!$AG$28="Menor"),CONCATENATE("R4C",'R. Seguridad de la Información'!$U$28),"")</f>
        <v/>
      </c>
      <c r="R49" s="69" t="str">
        <f>IF(AND('R. Seguridad de la Información'!$AE$29="Muy Baja",'R. Seguridad de la Información'!$AG$29="Menor"),CONCATENATE("R4C",'R. Seguridad de la Información'!$U$29),"")</f>
        <v/>
      </c>
      <c r="S49" s="69" t="str">
        <f>IF(AND('R. Seguridad de la Información'!$AE$30="Muy Baja",'R. Seguridad de la Información'!$AG$30="Menor"),CONCATENATE("R4C",'R. Seguridad de la Información'!$U$30),"")</f>
        <v/>
      </c>
      <c r="T49" s="69" t="str">
        <f>IF(AND('R. Seguridad de la Información'!$AE$31="Muy Baja",'R. Seguridad de la Información'!$AG$31="Menor"),CONCATENATE("R4C",'R. Seguridad de la Información'!$U$31),"")</f>
        <v/>
      </c>
      <c r="U49" s="70" t="str">
        <f>IF(AND('R. Seguridad de la Información'!$AE$32="Muy Baja",'R. Seguridad de la Información'!$AG$32="Menor"),CONCATENATE("R4C",'R. Seguridad de la Información'!$U$32),"")</f>
        <v/>
      </c>
      <c r="V49" s="59" t="str">
        <f>IF(AND('R. Seguridad de la Información'!$AE$27="Muy Baja",'R. Seguridad de la Información'!$AG$27="Moderado"),CONCATENATE("R4C",'R. Seguridad de la Información'!$U$27),"")</f>
        <v/>
      </c>
      <c r="W49" s="60" t="str">
        <f>IF(AND('R. Seguridad de la Información'!$AE$28="Muy Baja",'R. Seguridad de la Información'!$AG$28="Moderado"),CONCATENATE("R4C",'R. Seguridad de la Información'!$U$28),"")</f>
        <v/>
      </c>
      <c r="X49" s="60" t="str">
        <f>IF(AND('R. Seguridad de la Información'!$AE$29="Muy Baja",'R. Seguridad de la Información'!$AG$29="Moderado"),CONCATENATE("R4C",'R. Seguridad de la Información'!$U$29),"")</f>
        <v/>
      </c>
      <c r="Y49" s="60" t="str">
        <f>IF(AND('R. Seguridad de la Información'!$AE$30="Muy Baja",'R. Seguridad de la Información'!$AG$30="Moderado"),CONCATENATE("R4C",'R. Seguridad de la Información'!$U$30),"")</f>
        <v/>
      </c>
      <c r="Z49" s="60" t="str">
        <f>IF(AND('R. Seguridad de la Información'!$AE$31="Muy Baja",'R. Seguridad de la Información'!$AG$31="Moderado"),CONCATENATE("R4C",'R. Seguridad de la Información'!$U$31),"")</f>
        <v/>
      </c>
      <c r="AA49" s="61" t="str">
        <f>IF(AND('R. Seguridad de la Información'!$AE$32="Muy Baja",'R. Seguridad de la Información'!$AG$32="Moderado"),CONCATENATE("R4C",'R. Seguridad de la Información'!$U$32),"")</f>
        <v/>
      </c>
      <c r="AB49" s="43" t="str">
        <f>IF(AND('R. Seguridad de la Información'!$AE$27="Muy Baja",'R. Seguridad de la Información'!$AG$27="Mayor"),CONCATENATE("R4C",'R. Seguridad de la Información'!$U$27),"")</f>
        <v/>
      </c>
      <c r="AC49" s="44" t="str">
        <f>IF(AND('R. Seguridad de la Información'!$AE$28="Muy Baja",'R. Seguridad de la Información'!$AG$28="Mayor"),CONCATENATE("R4C",'R. Seguridad de la Información'!$U$28),"")</f>
        <v/>
      </c>
      <c r="AD49" s="44" t="str">
        <f>IF(AND('R. Seguridad de la Información'!$AE$29="Muy Baja",'R. Seguridad de la Información'!$AG$29="Mayor"),CONCATENATE("R4C",'R. Seguridad de la Información'!$U$29),"")</f>
        <v/>
      </c>
      <c r="AE49" s="44" t="str">
        <f>IF(AND('R. Seguridad de la Información'!$AE$30="Muy Baja",'R. Seguridad de la Información'!$AG$30="Mayor"),CONCATENATE("R4C",'R. Seguridad de la Información'!$U$30),"")</f>
        <v/>
      </c>
      <c r="AF49" s="44" t="str">
        <f>IF(AND('R. Seguridad de la Información'!$AE$31="Muy Baja",'R. Seguridad de la Información'!$AG$31="Mayor"),CONCATENATE("R4C",'R. Seguridad de la Información'!$U$31),"")</f>
        <v/>
      </c>
      <c r="AG49" s="45" t="str">
        <f>IF(AND('R. Seguridad de la Información'!$AE$32="Muy Baja",'R. Seguridad de la Información'!$AG$32="Mayor"),CONCATENATE("R4C",'R. Seguridad de la Información'!$U$32),"")</f>
        <v/>
      </c>
      <c r="AH49" s="46" t="str">
        <f>IF(AND('R. Seguridad de la Información'!$AE$27="Muy Baja",'R. Seguridad de la Información'!$AG$27="Catastrófico"),CONCATENATE("R4C",'R. Seguridad de la Información'!$U$27),"")</f>
        <v/>
      </c>
      <c r="AI49" s="47" t="str">
        <f>IF(AND('R. Seguridad de la Información'!$AE$28="Muy Baja",'R. Seguridad de la Información'!$AG$28="Catastrófico"),CONCATENATE("R4C",'R. Seguridad de la Información'!$U$28),"")</f>
        <v/>
      </c>
      <c r="AJ49" s="47" t="str">
        <f>IF(AND('R. Seguridad de la Información'!$AE$29="Muy Baja",'R. Seguridad de la Información'!$AG$29="Catastrófico"),CONCATENATE("R4C",'R. Seguridad de la Información'!$U$29),"")</f>
        <v/>
      </c>
      <c r="AK49" s="47" t="str">
        <f>IF(AND('R. Seguridad de la Información'!$AE$30="Muy Baja",'R. Seguridad de la Información'!$AG$30="Catastrófico"),CONCATENATE("R4C",'R. Seguridad de la Información'!$U$30),"")</f>
        <v/>
      </c>
      <c r="AL49" s="47" t="str">
        <f>IF(AND('R. Seguridad de la Información'!$AE$31="Muy Baja",'R. Seguridad de la Información'!$AG$31="Catastrófico"),CONCATENATE("R4C",'R. Seguridad de la Información'!$U$31),"")</f>
        <v/>
      </c>
      <c r="AM49" s="48" t="str">
        <f>IF(AND('R. Seguridad de la Información'!$AE$32="Muy Baja",'R. Seguridad de la Información'!$AG$32="Catastrófico"),CONCATENATE("R4C",'R. Seguridad de la Información'!$U$32),"")</f>
        <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523"/>
      <c r="C50" s="523"/>
      <c r="D50" s="524"/>
      <c r="E50" s="624"/>
      <c r="F50" s="625"/>
      <c r="G50" s="625"/>
      <c r="H50" s="625"/>
      <c r="I50" s="640"/>
      <c r="J50" s="68" t="str">
        <f>IF(AND('R. Seguridad de la Información'!$AE$33="Muy Baja",'R. Seguridad de la Información'!$AG$33="Leve"),CONCATENATE("R5C",'R. Seguridad de la Información'!$U$33),"")</f>
        <v/>
      </c>
      <c r="K50" s="69" t="str">
        <f>IF(AND('R. Seguridad de la Información'!$AE$34="Muy Baja",'R. Seguridad de la Información'!$AG$34="Leve"),CONCATENATE("R5C",'R. Seguridad de la Información'!$U$34),"")</f>
        <v/>
      </c>
      <c r="L50" s="69" t="str">
        <f>IF(AND('R. Seguridad de la Información'!$AE$35="Muy Baja",'R. Seguridad de la Información'!$AG$35="Leve"),CONCATENATE("R5C",'R. Seguridad de la Información'!$U$35),"")</f>
        <v/>
      </c>
      <c r="M50" s="69" t="str">
        <f>IF(AND('R. Seguridad de la Información'!$AE$36="Muy Baja",'R. Seguridad de la Información'!$AG$36="Leve"),CONCATENATE("R5C",'R. Seguridad de la Información'!$U$36),"")</f>
        <v/>
      </c>
      <c r="N50" s="69" t="str">
        <f>IF(AND('R. Seguridad de la Información'!$AE$37="Muy Baja",'R. Seguridad de la Información'!$AG$37="Leve"),CONCATENATE("R5C",'R. Seguridad de la Información'!$U$37),"")</f>
        <v/>
      </c>
      <c r="O50" s="70" t="str">
        <f>IF(AND('R. Seguridad de la Información'!$AE$38="Muy Baja",'R. Seguridad de la Información'!$AG$38="Leve"),CONCATENATE("R5C",'R. Seguridad de la Información'!$U$38),"")</f>
        <v/>
      </c>
      <c r="P50" s="68" t="str">
        <f>IF(AND('R. Seguridad de la Información'!$AE$33="Muy Baja",'R. Seguridad de la Información'!$AG$33="Menor"),CONCATENATE("R5C",'R. Seguridad de la Información'!$U$33),"")</f>
        <v/>
      </c>
      <c r="Q50" s="69" t="str">
        <f>IF(AND('R. Seguridad de la Información'!$AE$34="Muy Baja",'R. Seguridad de la Información'!$AG$34="Menor"),CONCATENATE("R5C",'R. Seguridad de la Información'!$U$34),"")</f>
        <v/>
      </c>
      <c r="R50" s="69" t="str">
        <f>IF(AND('R. Seguridad de la Información'!$AE$35="Muy Baja",'R. Seguridad de la Información'!$AG$35="Menor"),CONCATENATE("R5C",'R. Seguridad de la Información'!$U$35),"")</f>
        <v/>
      </c>
      <c r="S50" s="69" t="str">
        <f>IF(AND('R. Seguridad de la Información'!$AE$36="Muy Baja",'R. Seguridad de la Información'!$AG$36="Menor"),CONCATENATE("R5C",'R. Seguridad de la Información'!$U$36),"")</f>
        <v/>
      </c>
      <c r="T50" s="69" t="str">
        <f>IF(AND('R. Seguridad de la Información'!$AE$37="Muy Baja",'R. Seguridad de la Información'!$AG$37="Menor"),CONCATENATE("R5C",'R. Seguridad de la Información'!$U$37),"")</f>
        <v/>
      </c>
      <c r="U50" s="70" t="str">
        <f>IF(AND('R. Seguridad de la Información'!$AE$38="Muy Baja",'R. Seguridad de la Información'!$AG$38="Menor"),CONCATENATE("R5C",'R. Seguridad de la Información'!$U$38),"")</f>
        <v/>
      </c>
      <c r="V50" s="59" t="str">
        <f>IF(AND('R. Seguridad de la Información'!$AE$33="Muy Baja",'R. Seguridad de la Información'!$AG$33="Moderado"),CONCATENATE("R5C",'R. Seguridad de la Información'!$U$33),"")</f>
        <v/>
      </c>
      <c r="W50" s="60" t="str">
        <f>IF(AND('R. Seguridad de la Información'!$AE$34="Muy Baja",'R. Seguridad de la Información'!$AG$34="Moderado"),CONCATENATE("R5C",'R. Seguridad de la Información'!$U$34),"")</f>
        <v/>
      </c>
      <c r="X50" s="60" t="str">
        <f>IF(AND('R. Seguridad de la Información'!$AE$35="Muy Baja",'R. Seguridad de la Información'!$AG$35="Moderado"),CONCATENATE("R5C",'R. Seguridad de la Información'!$U$35),"")</f>
        <v/>
      </c>
      <c r="Y50" s="60" t="str">
        <f>IF(AND('R. Seguridad de la Información'!$AE$36="Muy Baja",'R. Seguridad de la Información'!$AG$36="Moderado"),CONCATENATE("R5C",'R. Seguridad de la Información'!$U$36),"")</f>
        <v/>
      </c>
      <c r="Z50" s="60" t="str">
        <f>IF(AND('R. Seguridad de la Información'!$AE$37="Muy Baja",'R. Seguridad de la Información'!$AG$37="Moderado"),CONCATENATE("R5C",'R. Seguridad de la Información'!$U$37),"")</f>
        <v/>
      </c>
      <c r="AA50" s="61" t="str">
        <f>IF(AND('R. Seguridad de la Información'!$AE$38="Muy Baja",'R. Seguridad de la Información'!$AG$38="Moderado"),CONCATENATE("R5C",'R. Seguridad de la Información'!$U$38),"")</f>
        <v/>
      </c>
      <c r="AB50" s="43" t="str">
        <f>IF(AND('R. Seguridad de la Información'!$AE$33="Muy Baja",'R. Seguridad de la Información'!$AG$33="Mayor"),CONCATENATE("R5C",'R. Seguridad de la Información'!$U$33),"")</f>
        <v/>
      </c>
      <c r="AC50" s="44" t="str">
        <f>IF(AND('R. Seguridad de la Información'!$AE$34="Muy Baja",'R. Seguridad de la Información'!$AG$34="Mayor"),CONCATENATE("R5C",'R. Seguridad de la Información'!$U$34),"")</f>
        <v/>
      </c>
      <c r="AD50" s="49" t="str">
        <f>IF(AND('R. Seguridad de la Información'!$AE$35="Muy Baja",'R. Seguridad de la Información'!$AG$35="Mayor"),CONCATENATE("R5C",'R. Seguridad de la Información'!$U$35),"")</f>
        <v/>
      </c>
      <c r="AE50" s="49" t="str">
        <f>IF(AND('R. Seguridad de la Información'!$AE$36="Muy Baja",'R. Seguridad de la Información'!$AG$36="Mayor"),CONCATENATE("R5C",'R. Seguridad de la Información'!$U$36),"")</f>
        <v/>
      </c>
      <c r="AF50" s="49" t="str">
        <f>IF(AND('R. Seguridad de la Información'!$AE$37="Muy Baja",'R. Seguridad de la Información'!$AG$37="Mayor"),CONCATENATE("R5C",'R. Seguridad de la Información'!$U$37),"")</f>
        <v/>
      </c>
      <c r="AG50" s="45" t="str">
        <f>IF(AND('R. Seguridad de la Información'!$AE$38="Muy Baja",'R. Seguridad de la Información'!$AG$38="Mayor"),CONCATENATE("R5C",'R. Seguridad de la Información'!$U$38),"")</f>
        <v/>
      </c>
      <c r="AH50" s="46" t="str">
        <f>IF(AND('R. Seguridad de la Información'!$AE$33="Muy Baja",'R. Seguridad de la Información'!$AG$33="Catastrófico"),CONCATENATE("R5C",'R. Seguridad de la Información'!$U$33),"")</f>
        <v/>
      </c>
      <c r="AI50" s="47" t="str">
        <f>IF(AND('R. Seguridad de la Información'!$AE$34="Muy Baja",'R. Seguridad de la Información'!$AG$34="Catastrófico"),CONCATENATE("R5C",'R. Seguridad de la Información'!$U$34),"")</f>
        <v/>
      </c>
      <c r="AJ50" s="47" t="str">
        <f>IF(AND('R. Seguridad de la Información'!$AE$35="Muy Baja",'R. Seguridad de la Información'!$AG$35="Catastrófico"),CONCATENATE("R5C",'R. Seguridad de la Información'!$U$35),"")</f>
        <v/>
      </c>
      <c r="AK50" s="47" t="str">
        <f>IF(AND('R. Seguridad de la Información'!$AE$36="Muy Baja",'R. Seguridad de la Información'!$AG$36="Catastrófico"),CONCATENATE("R5C",'R. Seguridad de la Información'!$U$36),"")</f>
        <v/>
      </c>
      <c r="AL50" s="47" t="str">
        <f>IF(AND('R. Seguridad de la Información'!$AE$37="Muy Baja",'R. Seguridad de la Información'!$AG$37="Catastrófico"),CONCATENATE("R5C",'R. Seguridad de la Información'!$U$37),"")</f>
        <v/>
      </c>
      <c r="AM50" s="48" t="str">
        <f>IF(AND('R. Seguridad de la Información'!$AE$38="Muy Baja",'R. Seguridad de la Información'!$AG$38="Catastrófico"),CONCATENATE("R5C",'R. Seguridad de la Información'!$U$38),"")</f>
        <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523"/>
      <c r="C51" s="523"/>
      <c r="D51" s="524"/>
      <c r="E51" s="624"/>
      <c r="F51" s="625"/>
      <c r="G51" s="625"/>
      <c r="H51" s="625"/>
      <c r="I51" s="640"/>
      <c r="J51" s="68" t="str">
        <f>IF(AND('R. Seguridad de la Información'!$AE$39="Muy Baja",'R. Seguridad de la Información'!$AG$39="Leve"),CONCATENATE("R6C",'R. Seguridad de la Información'!$U$39),"")</f>
        <v/>
      </c>
      <c r="K51" s="69" t="str">
        <f>IF(AND('R. Seguridad de la Información'!$AE$40="Muy Baja",'R. Seguridad de la Información'!$AG$40="Leve"),CONCATENATE("R6C",'R. Seguridad de la Información'!$U$40),"")</f>
        <v/>
      </c>
      <c r="L51" s="69" t="str">
        <f>IF(AND('R. Seguridad de la Información'!$AE$41="Muy Baja",'R. Seguridad de la Información'!$AG$41="Leve"),CONCATENATE("R6C",'R. Seguridad de la Información'!$U$41),"")</f>
        <v/>
      </c>
      <c r="M51" s="69" t="str">
        <f>IF(AND('R. Seguridad de la Información'!$AE$42="Muy Baja",'R. Seguridad de la Información'!$AG$42="Leve"),CONCATENATE("R6C",'R. Seguridad de la Información'!$U$42),"")</f>
        <v/>
      </c>
      <c r="N51" s="69" t="str">
        <f>IF(AND('R. Seguridad de la Información'!$AE$43="Muy Baja",'R. Seguridad de la Información'!$AG$43="Leve"),CONCATENATE("R6C",'R. Seguridad de la Información'!$U$43),"")</f>
        <v/>
      </c>
      <c r="O51" s="70" t="str">
        <f>IF(AND('R. Seguridad de la Información'!$AE$44="Muy Baja",'R. Seguridad de la Información'!$AG$44="Leve"),CONCATENATE("R6C",'R. Seguridad de la Información'!$U$44),"")</f>
        <v/>
      </c>
      <c r="P51" s="68" t="str">
        <f>IF(AND('R. Seguridad de la Información'!$AE$39="Muy Baja",'R. Seguridad de la Información'!$AG$39="Menor"),CONCATENATE("R6C",'R. Seguridad de la Información'!$U$39),"")</f>
        <v/>
      </c>
      <c r="Q51" s="69" t="str">
        <f>IF(AND('R. Seguridad de la Información'!$AE$40="Muy Baja",'R. Seguridad de la Información'!$AG$40="Menor"),CONCATENATE("R6C",'R. Seguridad de la Información'!$U$40),"")</f>
        <v/>
      </c>
      <c r="R51" s="69" t="str">
        <f>IF(AND('R. Seguridad de la Información'!$AE$41="Muy Baja",'R. Seguridad de la Información'!$AG$41="Menor"),CONCATENATE("R6C",'R. Seguridad de la Información'!$U$41),"")</f>
        <v/>
      </c>
      <c r="S51" s="69" t="str">
        <f>IF(AND('R. Seguridad de la Información'!$AE$42="Muy Baja",'R. Seguridad de la Información'!$AG$42="Menor"),CONCATENATE("R6C",'R. Seguridad de la Información'!$U$42),"")</f>
        <v/>
      </c>
      <c r="T51" s="69" t="str">
        <f>IF(AND('R. Seguridad de la Información'!$AE$43="Muy Baja",'R. Seguridad de la Información'!$AG$43="Menor"),CONCATENATE("R6C",'R. Seguridad de la Información'!$U$43),"")</f>
        <v/>
      </c>
      <c r="U51" s="70" t="str">
        <f>IF(AND('R. Seguridad de la Información'!$AE$44="Muy Baja",'R. Seguridad de la Información'!$AG$44="Menor"),CONCATENATE("R6C",'R. Seguridad de la Información'!$U$44),"")</f>
        <v/>
      </c>
      <c r="V51" s="59" t="str">
        <f>IF(AND('R. Seguridad de la Información'!$AE$39="Muy Baja",'R. Seguridad de la Información'!$AG$39="Moderado"),CONCATENATE("R6C",'R. Seguridad de la Información'!$U$39),"")</f>
        <v/>
      </c>
      <c r="W51" s="60" t="str">
        <f>IF(AND('R. Seguridad de la Información'!$AE$40="Muy Baja",'R. Seguridad de la Información'!$AG$40="Moderado"),CONCATENATE("R6C",'R. Seguridad de la Información'!$U$40),"")</f>
        <v/>
      </c>
      <c r="X51" s="60" t="str">
        <f>IF(AND('R. Seguridad de la Información'!$AE$41="Muy Baja",'R. Seguridad de la Información'!$AG$41="Moderado"),CONCATENATE("R6C",'R. Seguridad de la Información'!$U$41),"")</f>
        <v/>
      </c>
      <c r="Y51" s="60" t="str">
        <f>IF(AND('R. Seguridad de la Información'!$AE$42="Muy Baja",'R. Seguridad de la Información'!$AG$42="Moderado"),CONCATENATE("R6C",'R. Seguridad de la Información'!$U$42),"")</f>
        <v/>
      </c>
      <c r="Z51" s="60" t="str">
        <f>IF(AND('R. Seguridad de la Información'!$AE$43="Muy Baja",'R. Seguridad de la Información'!$AG$43="Moderado"),CONCATENATE("R6C",'R. Seguridad de la Información'!$U$43),"")</f>
        <v/>
      </c>
      <c r="AA51" s="61" t="str">
        <f>IF(AND('R. Seguridad de la Información'!$AE$44="Muy Baja",'R. Seguridad de la Información'!$AG$44="Moderado"),CONCATENATE("R6C",'R. Seguridad de la Información'!$U$44),"")</f>
        <v/>
      </c>
      <c r="AB51" s="43" t="str">
        <f>IF(AND('R. Seguridad de la Información'!$AE$39="Muy Baja",'R. Seguridad de la Información'!$AG$39="Mayor"),CONCATENATE("R6C",'R. Seguridad de la Información'!$U$39),"")</f>
        <v/>
      </c>
      <c r="AC51" s="44" t="str">
        <f>IF(AND('R. Seguridad de la Información'!$AE$40="Muy Baja",'R. Seguridad de la Información'!$AG$40="Mayor"),CONCATENATE("R6C",'R. Seguridad de la Información'!$U$40),"")</f>
        <v/>
      </c>
      <c r="AD51" s="49" t="str">
        <f>IF(AND('R. Seguridad de la Información'!$AE$41="Muy Baja",'R. Seguridad de la Información'!$AG$41="Mayor"),CONCATENATE("R6C",'R. Seguridad de la Información'!$U$41),"")</f>
        <v/>
      </c>
      <c r="AE51" s="49" t="str">
        <f>IF(AND('R. Seguridad de la Información'!$AE$42="Muy Baja",'R. Seguridad de la Información'!$AG$42="Mayor"),CONCATENATE("R6C",'R. Seguridad de la Información'!$U$42),"")</f>
        <v/>
      </c>
      <c r="AF51" s="49" t="str">
        <f>IF(AND('R. Seguridad de la Información'!$AE$43="Muy Baja",'R. Seguridad de la Información'!$AG$43="Mayor"),CONCATENATE("R6C",'R. Seguridad de la Información'!$U$43),"")</f>
        <v/>
      </c>
      <c r="AG51" s="45" t="str">
        <f>IF(AND('R. Seguridad de la Información'!$AE$44="Muy Baja",'R. Seguridad de la Información'!$AG$44="Mayor"),CONCATENATE("R6C",'R. Seguridad de la Información'!$U$44),"")</f>
        <v/>
      </c>
      <c r="AH51" s="46" t="str">
        <f>IF(AND('R. Seguridad de la Información'!$AE$39="Muy Baja",'R. Seguridad de la Información'!$AG$39="Catastrófico"),CONCATENATE("R6C",'R. Seguridad de la Información'!$U$39),"")</f>
        <v/>
      </c>
      <c r="AI51" s="47" t="str">
        <f>IF(AND('R. Seguridad de la Información'!$AE$40="Muy Baja",'R. Seguridad de la Información'!$AG$40="Catastrófico"),CONCATENATE("R6C",'R. Seguridad de la Información'!$U$40),"")</f>
        <v/>
      </c>
      <c r="AJ51" s="47" t="str">
        <f>IF(AND('R. Seguridad de la Información'!$AE$41="Muy Baja",'R. Seguridad de la Información'!$AG$41="Catastrófico"),CONCATENATE("R6C",'R. Seguridad de la Información'!$U$41),"")</f>
        <v/>
      </c>
      <c r="AK51" s="47" t="str">
        <f>IF(AND('R. Seguridad de la Información'!$AE$42="Muy Baja",'R. Seguridad de la Información'!$AG$42="Catastrófico"),CONCATENATE("R6C",'R. Seguridad de la Información'!$U$42),"")</f>
        <v/>
      </c>
      <c r="AL51" s="47" t="str">
        <f>IF(AND('R. Seguridad de la Información'!$AE$43="Muy Baja",'R. Seguridad de la Información'!$AG$43="Catastrófico"),CONCATENATE("R6C",'R. Seguridad de la Información'!$U$43),"")</f>
        <v/>
      </c>
      <c r="AM51" s="48" t="str">
        <f>IF(AND('R. Seguridad de la Información'!$AE$44="Muy Baja",'R. Seguridad de la Información'!$AG$44="Catastrófico"),CONCATENATE("R6C",'R. Seguridad de la Información'!$U$44),"")</f>
        <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523"/>
      <c r="C52" s="523"/>
      <c r="D52" s="524"/>
      <c r="E52" s="624"/>
      <c r="F52" s="625"/>
      <c r="G52" s="625"/>
      <c r="H52" s="625"/>
      <c r="I52" s="640"/>
      <c r="J52" s="68" t="str">
        <f>IF(AND('R. Seguridad de la Información'!$AE$45="Muy Baja",'R. Seguridad de la Información'!$AG$45="Leve"),CONCATENATE("R7C",'R. Seguridad de la Información'!$U$45),"")</f>
        <v/>
      </c>
      <c r="K52" s="69" t="str">
        <f>IF(AND('R. Seguridad de la Información'!$AE$46="Muy Baja",'R. Seguridad de la Información'!$AG$46="Leve"),CONCATENATE("R7C",'R. Seguridad de la Información'!$U$46),"")</f>
        <v/>
      </c>
      <c r="L52" s="69" t="str">
        <f>IF(AND('R. Seguridad de la Información'!$AE$47="Muy Baja",'R. Seguridad de la Información'!$AG$47="Leve"),CONCATENATE("R7C",'R. Seguridad de la Información'!$U$47),"")</f>
        <v/>
      </c>
      <c r="M52" s="69" t="str">
        <f>IF(AND('R. Seguridad de la Información'!$AE$48="Muy Baja",'R. Seguridad de la Información'!$AG$48="Leve"),CONCATENATE("R7C",'R. Seguridad de la Información'!$U$48),"")</f>
        <v/>
      </c>
      <c r="N52" s="69" t="str">
        <f>IF(AND('R. Seguridad de la Información'!$AE$49="Muy Baja",'R. Seguridad de la Información'!$AG$49="Leve"),CONCATENATE("R7C",'R. Seguridad de la Información'!$U$49),"")</f>
        <v/>
      </c>
      <c r="O52" s="70" t="str">
        <f>IF(AND('R. Seguridad de la Información'!$AE$50="Muy Baja",'R. Seguridad de la Información'!$AG$50="Leve"),CONCATENATE("R7C",'R. Seguridad de la Información'!$U$50),"")</f>
        <v/>
      </c>
      <c r="P52" s="68" t="str">
        <f>IF(AND('R. Seguridad de la Información'!$AE$45="Muy Baja",'R. Seguridad de la Información'!$AG$45="Menor"),CONCATENATE("R7C",'R. Seguridad de la Información'!$U$45),"")</f>
        <v/>
      </c>
      <c r="Q52" s="69" t="str">
        <f>IF(AND('R. Seguridad de la Información'!$AE$46="Muy Baja",'R. Seguridad de la Información'!$AG$46="Menor"),CONCATENATE("R7C",'R. Seguridad de la Información'!$U$46),"")</f>
        <v/>
      </c>
      <c r="R52" s="69" t="str">
        <f>IF(AND('R. Seguridad de la Información'!$AE$47="Muy Baja",'R. Seguridad de la Información'!$AG$47="Menor"),CONCATENATE("R7C",'R. Seguridad de la Información'!$U$47),"")</f>
        <v/>
      </c>
      <c r="S52" s="69" t="str">
        <f>IF(AND('R. Seguridad de la Información'!$AE$48="Muy Baja",'R. Seguridad de la Información'!$AG$48="Menor"),CONCATENATE("R7C",'R. Seguridad de la Información'!$U$48),"")</f>
        <v/>
      </c>
      <c r="T52" s="69" t="str">
        <f>IF(AND('R. Seguridad de la Información'!$AE$49="Muy Baja",'R. Seguridad de la Información'!$AG$49="Menor"),CONCATENATE("R7C",'R. Seguridad de la Información'!$U$49),"")</f>
        <v/>
      </c>
      <c r="U52" s="70" t="str">
        <f>IF(AND('R. Seguridad de la Información'!$AE$50="Muy Baja",'R. Seguridad de la Información'!$AG$50="Menor"),CONCATENATE("R7C",'R. Seguridad de la Información'!$U$50),"")</f>
        <v/>
      </c>
      <c r="V52" s="59" t="str">
        <f>IF(AND('R. Seguridad de la Información'!$AE$45="Muy Baja",'R. Seguridad de la Información'!$AG$45="Moderado"),CONCATENATE("R7C",'R. Seguridad de la Información'!$U$45),"")</f>
        <v/>
      </c>
      <c r="W52" s="60" t="str">
        <f>IF(AND('R. Seguridad de la Información'!$AE$46="Muy Baja",'R. Seguridad de la Información'!$AG$46="Moderado"),CONCATENATE("R7C",'R. Seguridad de la Información'!$U$46),"")</f>
        <v/>
      </c>
      <c r="X52" s="60" t="str">
        <f>IF(AND('R. Seguridad de la Información'!$AE$47="Muy Baja",'R. Seguridad de la Información'!$AG$47="Moderado"),CONCATENATE("R7C",'R. Seguridad de la Información'!$U$47),"")</f>
        <v/>
      </c>
      <c r="Y52" s="60" t="str">
        <f>IF(AND('R. Seguridad de la Información'!$AE$48="Muy Baja",'R. Seguridad de la Información'!$AG$48="Moderado"),CONCATENATE("R7C",'R. Seguridad de la Información'!$U$48),"")</f>
        <v/>
      </c>
      <c r="Z52" s="60" t="str">
        <f>IF(AND('R. Seguridad de la Información'!$AE$49="Muy Baja",'R. Seguridad de la Información'!$AG$49="Moderado"),CONCATENATE("R7C",'R. Seguridad de la Información'!$U$49),"")</f>
        <v/>
      </c>
      <c r="AA52" s="61" t="str">
        <f>IF(AND('R. Seguridad de la Información'!$AE$50="Muy Baja",'R. Seguridad de la Información'!$AG$50="Moderado"),CONCATENATE("R7C",'R. Seguridad de la Información'!$U$50),"")</f>
        <v/>
      </c>
      <c r="AB52" s="43" t="str">
        <f>IF(AND('R. Seguridad de la Información'!$AE$45="Muy Baja",'R. Seguridad de la Información'!$AG$45="Mayor"),CONCATENATE("R7C",'R. Seguridad de la Información'!$U$45),"")</f>
        <v/>
      </c>
      <c r="AC52" s="44" t="str">
        <f>IF(AND('R. Seguridad de la Información'!$AE$46="Muy Baja",'R. Seguridad de la Información'!$AG$46="Mayor"),CONCATENATE("R7C",'R. Seguridad de la Información'!$U$46),"")</f>
        <v/>
      </c>
      <c r="AD52" s="49" t="str">
        <f>IF(AND('R. Seguridad de la Información'!$AE$47="Muy Baja",'R. Seguridad de la Información'!$AG$47="Mayor"),CONCATENATE("R7C",'R. Seguridad de la Información'!$U$47),"")</f>
        <v/>
      </c>
      <c r="AE52" s="49" t="str">
        <f>IF(AND('R. Seguridad de la Información'!$AE$48="Muy Baja",'R. Seguridad de la Información'!$AG$48="Mayor"),CONCATENATE("R7C",'R. Seguridad de la Información'!$U$48),"")</f>
        <v/>
      </c>
      <c r="AF52" s="49" t="str">
        <f>IF(AND('R. Seguridad de la Información'!$AE$49="Muy Baja",'R. Seguridad de la Información'!$AG$49="Mayor"),CONCATENATE("R7C",'R. Seguridad de la Información'!$U$49),"")</f>
        <v/>
      </c>
      <c r="AG52" s="45" t="str">
        <f>IF(AND('R. Seguridad de la Información'!$AE$50="Muy Baja",'R. Seguridad de la Información'!$AG$50="Mayor"),CONCATENATE("R7C",'R. Seguridad de la Información'!$U$50),"")</f>
        <v/>
      </c>
      <c r="AH52" s="46" t="str">
        <f>IF(AND('R. Seguridad de la Información'!$AE$45="Muy Baja",'R. Seguridad de la Información'!$AG$45="Catastrófico"),CONCATENATE("R7C",'R. Seguridad de la Información'!$U$45),"")</f>
        <v/>
      </c>
      <c r="AI52" s="47" t="str">
        <f>IF(AND('R. Seguridad de la Información'!$AE$46="Muy Baja",'R. Seguridad de la Información'!$AG$46="Catastrófico"),CONCATENATE("R7C",'R. Seguridad de la Información'!$U$46),"")</f>
        <v/>
      </c>
      <c r="AJ52" s="47" t="str">
        <f>IF(AND('R. Seguridad de la Información'!$AE$47="Muy Baja",'R. Seguridad de la Información'!$AG$47="Catastrófico"),CONCATENATE("R7C",'R. Seguridad de la Información'!$U$47),"")</f>
        <v/>
      </c>
      <c r="AK52" s="47" t="str">
        <f>IF(AND('R. Seguridad de la Información'!$AE$48="Muy Baja",'R. Seguridad de la Información'!$AG$48="Catastrófico"),CONCATENATE("R7C",'R. Seguridad de la Información'!$U$48),"")</f>
        <v/>
      </c>
      <c r="AL52" s="47" t="str">
        <f>IF(AND('R. Seguridad de la Información'!$AE$49="Muy Baja",'R. Seguridad de la Información'!$AG$49="Catastrófico"),CONCATENATE("R7C",'R. Seguridad de la Información'!$U$49),"")</f>
        <v/>
      </c>
      <c r="AM52" s="48" t="str">
        <f>IF(AND('R. Seguridad de la Información'!$AE$50="Muy Baja",'R. Seguridad de la Información'!$AG$50="Catastrófico"),CONCATENATE("R7C",'R. Seguridad de la Información'!$U$50),"")</f>
        <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523"/>
      <c r="C53" s="523"/>
      <c r="D53" s="524"/>
      <c r="E53" s="624"/>
      <c r="F53" s="625"/>
      <c r="G53" s="625"/>
      <c r="H53" s="625"/>
      <c r="I53" s="640"/>
      <c r="J53" s="68" t="str">
        <f>IF(AND('R. Seguridad de la Información'!$AE$51="Muy Baja",'R. Seguridad de la Información'!$AG$51="Leve"),CONCATENATE("R8C",'R. Seguridad de la Información'!$U$51),"")</f>
        <v/>
      </c>
      <c r="K53" s="69" t="str">
        <f>IF(AND('R. Seguridad de la Información'!$AE$52="Muy Baja",'R. Seguridad de la Información'!$AG$52="Leve"),CONCATENATE("R8C",'R. Seguridad de la Información'!$U$52),"")</f>
        <v/>
      </c>
      <c r="L53" s="69" t="str">
        <f>IF(AND('R. Seguridad de la Información'!$AE$53="Muy Baja",'R. Seguridad de la Información'!$AG$53="Leve"),CONCATENATE("R8C",'R. Seguridad de la Información'!$U$53),"")</f>
        <v/>
      </c>
      <c r="M53" s="69" t="str">
        <f>IF(AND('R. Seguridad de la Información'!$AE$54="Muy Baja",'R. Seguridad de la Información'!$AG$54="Leve"),CONCATENATE("R8C",'R. Seguridad de la Información'!$U$54),"")</f>
        <v/>
      </c>
      <c r="N53" s="69" t="str">
        <f>IF(AND('R. Seguridad de la Información'!$AE$55="Muy Baja",'R. Seguridad de la Información'!$AG$55="Leve"),CONCATENATE("R8C",'R. Seguridad de la Información'!$U$55),"")</f>
        <v/>
      </c>
      <c r="O53" s="70" t="str">
        <f>IF(AND('R. Seguridad de la Información'!$AE$56="Muy Baja",'R. Seguridad de la Información'!$AG$56="Leve"),CONCATENATE("R8C",'R. Seguridad de la Información'!$U$56),"")</f>
        <v/>
      </c>
      <c r="P53" s="68" t="str">
        <f>IF(AND('R. Seguridad de la Información'!$AE$51="Muy Baja",'R. Seguridad de la Información'!$AG$51="Menor"),CONCATENATE("R8C",'R. Seguridad de la Información'!$U$51),"")</f>
        <v/>
      </c>
      <c r="Q53" s="69" t="str">
        <f>IF(AND('R. Seguridad de la Información'!$AE$52="Muy Baja",'R. Seguridad de la Información'!$AG$52="Menor"),CONCATENATE("R8C",'R. Seguridad de la Información'!$U$52),"")</f>
        <v/>
      </c>
      <c r="R53" s="69" t="str">
        <f>IF(AND('R. Seguridad de la Información'!$AE$53="Muy Baja",'R. Seguridad de la Información'!$AG$53="Menor"),CONCATENATE("R8C",'R. Seguridad de la Información'!$U$53),"")</f>
        <v/>
      </c>
      <c r="S53" s="69" t="str">
        <f>IF(AND('R. Seguridad de la Información'!$AE$54="Muy Baja",'R. Seguridad de la Información'!$AG$54="Menor"),CONCATENATE("R8C",'R. Seguridad de la Información'!$U$54),"")</f>
        <v/>
      </c>
      <c r="T53" s="69" t="str">
        <f>IF(AND('R. Seguridad de la Información'!$AE$55="Muy Baja",'R. Seguridad de la Información'!$AG$55="Menor"),CONCATENATE("R8C",'R. Seguridad de la Información'!$U$55),"")</f>
        <v/>
      </c>
      <c r="U53" s="70" t="str">
        <f>IF(AND('R. Seguridad de la Información'!$AE$56="Muy Baja",'R. Seguridad de la Información'!$AG$56="Menor"),CONCATENATE("R8C",'R. Seguridad de la Información'!$U$56),"")</f>
        <v/>
      </c>
      <c r="V53" s="59" t="str">
        <f>IF(AND('R. Seguridad de la Información'!$AE$51="Muy Baja",'R. Seguridad de la Información'!$AG$51="Moderado"),CONCATENATE("R8C",'R. Seguridad de la Información'!$U$51),"")</f>
        <v/>
      </c>
      <c r="W53" s="60" t="str">
        <f>IF(AND('R. Seguridad de la Información'!$AE$52="Muy Baja",'R. Seguridad de la Información'!$AG$52="Moderado"),CONCATENATE("R8C",'R. Seguridad de la Información'!$U$52),"")</f>
        <v/>
      </c>
      <c r="X53" s="60" t="str">
        <f>IF(AND('R. Seguridad de la Información'!$AE$53="Muy Baja",'R. Seguridad de la Información'!$AG$53="Moderado"),CONCATENATE("R8C",'R. Seguridad de la Información'!$U$53),"")</f>
        <v/>
      </c>
      <c r="Y53" s="60" t="str">
        <f>IF(AND('R. Seguridad de la Información'!$AE$54="Muy Baja",'R. Seguridad de la Información'!$AG$54="Moderado"),CONCATENATE("R8C",'R. Seguridad de la Información'!$U$54),"")</f>
        <v/>
      </c>
      <c r="Z53" s="60" t="str">
        <f>IF(AND('R. Seguridad de la Información'!$AE$55="Muy Baja",'R. Seguridad de la Información'!$AG$55="Moderado"),CONCATENATE("R8C",'R. Seguridad de la Información'!$U$55),"")</f>
        <v/>
      </c>
      <c r="AA53" s="61" t="str">
        <f>IF(AND('R. Seguridad de la Información'!$AE$56="Muy Baja",'R. Seguridad de la Información'!$AG$56="Moderado"),CONCATENATE("R8C",'R. Seguridad de la Información'!$U$56),"")</f>
        <v/>
      </c>
      <c r="AB53" s="43" t="str">
        <f>IF(AND('R. Seguridad de la Información'!$AE$51="Muy Baja",'R. Seguridad de la Información'!$AG$51="Mayor"),CONCATENATE("R8C",'R. Seguridad de la Información'!$U$51),"")</f>
        <v/>
      </c>
      <c r="AC53" s="44" t="str">
        <f>IF(AND('R. Seguridad de la Información'!$AE$52="Muy Baja",'R. Seguridad de la Información'!$AG$52="Mayor"),CONCATENATE("R8C",'R. Seguridad de la Información'!$U$52),"")</f>
        <v/>
      </c>
      <c r="AD53" s="49" t="str">
        <f>IF(AND('R. Seguridad de la Información'!$AE$53="Muy Baja",'R. Seguridad de la Información'!$AG$53="Mayor"),CONCATENATE("R8C",'R. Seguridad de la Información'!$U$53),"")</f>
        <v/>
      </c>
      <c r="AE53" s="49" t="str">
        <f>IF(AND('R. Seguridad de la Información'!$AE$54="Muy Baja",'R. Seguridad de la Información'!$AG$54="Mayor"),CONCATENATE("R8C",'R. Seguridad de la Información'!$U$54),"")</f>
        <v/>
      </c>
      <c r="AF53" s="49" t="str">
        <f>IF(AND('R. Seguridad de la Información'!$AE$55="Muy Baja",'R. Seguridad de la Información'!$AG$55="Mayor"),CONCATENATE("R8C",'R. Seguridad de la Información'!$U$55),"")</f>
        <v/>
      </c>
      <c r="AG53" s="45" t="str">
        <f>IF(AND('R. Seguridad de la Información'!$AE$56="Muy Baja",'R. Seguridad de la Información'!$AG$56="Mayor"),CONCATENATE("R8C",'R. Seguridad de la Información'!$U$56),"")</f>
        <v/>
      </c>
      <c r="AH53" s="46" t="str">
        <f>IF(AND('R. Seguridad de la Información'!$AE$51="Muy Baja",'R. Seguridad de la Información'!$AG$51="Catastrófico"),CONCATENATE("R8C",'R. Seguridad de la Información'!$U$51),"")</f>
        <v/>
      </c>
      <c r="AI53" s="47" t="str">
        <f>IF(AND('R. Seguridad de la Información'!$AE$52="Muy Baja",'R. Seguridad de la Información'!$AG$52="Catastrófico"),CONCATENATE("R8C",'R. Seguridad de la Información'!$U$52),"")</f>
        <v/>
      </c>
      <c r="AJ53" s="47" t="str">
        <f>IF(AND('R. Seguridad de la Información'!$AE$53="Muy Baja",'R. Seguridad de la Información'!$AG$53="Catastrófico"),CONCATENATE("R8C",'R. Seguridad de la Información'!$U$53),"")</f>
        <v/>
      </c>
      <c r="AK53" s="47" t="str">
        <f>IF(AND('R. Seguridad de la Información'!$AE$54="Muy Baja",'R. Seguridad de la Información'!$AG$54="Catastrófico"),CONCATENATE("R8C",'R. Seguridad de la Información'!$U$54),"")</f>
        <v/>
      </c>
      <c r="AL53" s="47" t="str">
        <f>IF(AND('R. Seguridad de la Información'!$AE$55="Muy Baja",'R. Seguridad de la Información'!$AG$55="Catastrófico"),CONCATENATE("R8C",'R. Seguridad de la Información'!$U$55),"")</f>
        <v/>
      </c>
      <c r="AM53" s="48" t="str">
        <f>IF(AND('R. Seguridad de la Información'!$AE$56="Muy Baja",'R. Seguridad de la Información'!$AG$56="Catastrófico"),CONCATENATE("R8C",'R. Seguridad de la Información'!$U$56),"")</f>
        <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523"/>
      <c r="C54" s="523"/>
      <c r="D54" s="524"/>
      <c r="E54" s="624"/>
      <c r="F54" s="625"/>
      <c r="G54" s="625"/>
      <c r="H54" s="625"/>
      <c r="I54" s="640"/>
      <c r="J54" s="68" t="str">
        <f>IF(AND('R. Seguridad de la Información'!$AE$57="Muy Baja",'R. Seguridad de la Información'!$AG$57="Leve"),CONCATENATE("R9C",'R. Seguridad de la Información'!$U$57),"")</f>
        <v/>
      </c>
      <c r="K54" s="69" t="str">
        <f>IF(AND('R. Seguridad de la Información'!$AE$58="Muy Baja",'R. Seguridad de la Información'!$AG$58="Leve"),CONCATENATE("R9C",'R. Seguridad de la Información'!$U$58),"")</f>
        <v/>
      </c>
      <c r="L54" s="69" t="str">
        <f>IF(AND('R. Seguridad de la Información'!$AE$59="Muy Baja",'R. Seguridad de la Información'!$AG$59="Leve"),CONCATENATE("R9C",'R. Seguridad de la Información'!$U$59),"")</f>
        <v/>
      </c>
      <c r="M54" s="69" t="str">
        <f>IF(AND('R. Seguridad de la Información'!$AE$60="Muy Baja",'R. Seguridad de la Información'!$AG$60="Leve"),CONCATENATE("R9C",'R. Seguridad de la Información'!$U$60),"")</f>
        <v/>
      </c>
      <c r="N54" s="69" t="str">
        <f>IF(AND('R. Seguridad de la Información'!$AE$61="Muy Baja",'R. Seguridad de la Información'!$AG$61="Leve"),CONCATENATE("R9C",'R. Seguridad de la Información'!$U$61),"")</f>
        <v/>
      </c>
      <c r="O54" s="70" t="str">
        <f>IF(AND('R. Seguridad de la Información'!$AE$62="Muy Baja",'R. Seguridad de la Información'!$AG$62="Leve"),CONCATENATE("R9C",'R. Seguridad de la Información'!$U$62),"")</f>
        <v/>
      </c>
      <c r="P54" s="68" t="str">
        <f>IF(AND('R. Seguridad de la Información'!$AE$57="Muy Baja",'R. Seguridad de la Información'!$AG$57="Menor"),CONCATENATE("R9C",'R. Seguridad de la Información'!$U$57),"")</f>
        <v/>
      </c>
      <c r="Q54" s="69" t="str">
        <f>IF(AND('R. Seguridad de la Información'!$AE$58="Muy Baja",'R. Seguridad de la Información'!$AG$58="Menor"),CONCATENATE("R9C",'R. Seguridad de la Información'!$U$58),"")</f>
        <v/>
      </c>
      <c r="R54" s="69" t="str">
        <f>IF(AND('R. Seguridad de la Información'!$AE$59="Muy Baja",'R. Seguridad de la Información'!$AG$59="Menor"),CONCATENATE("R9C",'R. Seguridad de la Información'!$U$59),"")</f>
        <v/>
      </c>
      <c r="S54" s="69" t="str">
        <f>IF(AND('R. Seguridad de la Información'!$AE$60="Muy Baja",'R. Seguridad de la Información'!$AG$60="Menor"),CONCATENATE("R9C",'R. Seguridad de la Información'!$U$60),"")</f>
        <v/>
      </c>
      <c r="T54" s="69" t="str">
        <f>IF(AND('R. Seguridad de la Información'!$AE$61="Muy Baja",'R. Seguridad de la Información'!$AG$61="Menor"),CONCATENATE("R9C",'R. Seguridad de la Información'!$U$61),"")</f>
        <v/>
      </c>
      <c r="U54" s="70" t="str">
        <f>IF(AND('R. Seguridad de la Información'!$AE$62="Muy Baja",'R. Seguridad de la Información'!$AG$62="Menor"),CONCATENATE("R9C",'R. Seguridad de la Información'!$U$62),"")</f>
        <v/>
      </c>
      <c r="V54" s="59" t="str">
        <f>IF(AND('R. Seguridad de la Información'!$AE$57="Muy Baja",'R. Seguridad de la Información'!$AG$57="Moderado"),CONCATENATE("R9C",'R. Seguridad de la Información'!$U$57),"")</f>
        <v/>
      </c>
      <c r="W54" s="60" t="str">
        <f>IF(AND('R. Seguridad de la Información'!$AE$58="Muy Baja",'R. Seguridad de la Información'!$AG$58="Moderado"),CONCATENATE("R9C",'R. Seguridad de la Información'!$U$58),"")</f>
        <v/>
      </c>
      <c r="X54" s="60" t="str">
        <f>IF(AND('R. Seguridad de la Información'!$AE$59="Muy Baja",'R. Seguridad de la Información'!$AG$59="Moderado"),CONCATENATE("R9C",'R. Seguridad de la Información'!$U$59),"")</f>
        <v/>
      </c>
      <c r="Y54" s="60" t="str">
        <f>IF(AND('R. Seguridad de la Información'!$AE$60="Muy Baja",'R. Seguridad de la Información'!$AG$60="Moderado"),CONCATENATE("R9C",'R. Seguridad de la Información'!$U$60),"")</f>
        <v/>
      </c>
      <c r="Z54" s="60" t="str">
        <f>IF(AND('R. Seguridad de la Información'!$AE$61="Muy Baja",'R. Seguridad de la Información'!$AG$61="Moderado"),CONCATENATE("R9C",'R. Seguridad de la Información'!$U$61),"")</f>
        <v/>
      </c>
      <c r="AA54" s="61" t="str">
        <f>IF(AND('R. Seguridad de la Información'!$AE$62="Muy Baja",'R. Seguridad de la Información'!$AG$62="Moderado"),CONCATENATE("R9C",'R. Seguridad de la Información'!$U$62),"")</f>
        <v/>
      </c>
      <c r="AB54" s="43" t="str">
        <f>IF(AND('R. Seguridad de la Información'!$AE$57="Muy Baja",'R. Seguridad de la Información'!$AG$57="Mayor"),CONCATENATE("R9C",'R. Seguridad de la Información'!$U$57),"")</f>
        <v/>
      </c>
      <c r="AC54" s="44" t="str">
        <f>IF(AND('R. Seguridad de la Información'!$AE$58="Muy Baja",'R. Seguridad de la Información'!$AG$58="Mayor"),CONCATENATE("R9C",'R. Seguridad de la Información'!$U$58),"")</f>
        <v/>
      </c>
      <c r="AD54" s="49" t="str">
        <f>IF(AND('R. Seguridad de la Información'!$AE$59="Muy Baja",'R. Seguridad de la Información'!$AG$59="Mayor"),CONCATENATE("R9C",'R. Seguridad de la Información'!$U$59),"")</f>
        <v/>
      </c>
      <c r="AE54" s="49" t="str">
        <f>IF(AND('R. Seguridad de la Información'!$AE$60="Muy Baja",'R. Seguridad de la Información'!$AG$60="Mayor"),CONCATENATE("R9C",'R. Seguridad de la Información'!$U$60),"")</f>
        <v/>
      </c>
      <c r="AF54" s="49" t="str">
        <f>IF(AND('R. Seguridad de la Información'!$AE$61="Muy Baja",'R. Seguridad de la Información'!$AG$61="Mayor"),CONCATENATE("R9C",'R. Seguridad de la Información'!$U$61),"")</f>
        <v/>
      </c>
      <c r="AG54" s="45" t="str">
        <f>IF(AND('R. Seguridad de la Información'!$AE$62="Muy Baja",'R. Seguridad de la Información'!$AG$62="Mayor"),CONCATENATE("R9C",'R. Seguridad de la Información'!$U$62),"")</f>
        <v/>
      </c>
      <c r="AH54" s="46" t="str">
        <f>IF(AND('R. Seguridad de la Información'!$AE$57="Muy Baja",'R. Seguridad de la Información'!$AG$57="Catastrófico"),CONCATENATE("R9C",'R. Seguridad de la Información'!$U$57),"")</f>
        <v/>
      </c>
      <c r="AI54" s="47" t="str">
        <f>IF(AND('R. Seguridad de la Información'!$AE$58="Muy Baja",'R. Seguridad de la Información'!$AG$58="Catastrófico"),CONCATENATE("R9C",'R. Seguridad de la Información'!$U$58),"")</f>
        <v/>
      </c>
      <c r="AJ54" s="47" t="str">
        <f>IF(AND('R. Seguridad de la Información'!$AE$59="Muy Baja",'R. Seguridad de la Información'!$AG$59="Catastrófico"),CONCATENATE("R9C",'R. Seguridad de la Información'!$U$59),"")</f>
        <v/>
      </c>
      <c r="AK54" s="47" t="str">
        <f>IF(AND('R. Seguridad de la Información'!$AE$60="Muy Baja",'R. Seguridad de la Información'!$AG$60="Catastrófico"),CONCATENATE("R9C",'R. Seguridad de la Información'!$U$60),"")</f>
        <v/>
      </c>
      <c r="AL54" s="47" t="str">
        <f>IF(AND('R. Seguridad de la Información'!$AE$61="Muy Baja",'R. Seguridad de la Información'!$AG$61="Catastrófico"),CONCATENATE("R9C",'R. Seguridad de la Información'!$U$61),"")</f>
        <v/>
      </c>
      <c r="AM54" s="48" t="str">
        <f>IF(AND('R. Seguridad de la Información'!$AE$62="Muy Baja",'R. Seguridad de la Información'!$AG$62="Catastrófico"),CONCATENATE("R9C",'R. Seguridad de la Información'!$U$62),"")</f>
        <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523"/>
      <c r="C55" s="523"/>
      <c r="D55" s="524"/>
      <c r="E55" s="626"/>
      <c r="F55" s="627"/>
      <c r="G55" s="627"/>
      <c r="H55" s="627"/>
      <c r="I55" s="641"/>
      <c r="J55" s="71" t="str">
        <f>IF(AND('R. Seguridad de la Información'!$AE$63="Muy Baja",'R. Seguridad de la Información'!$AG$63="Leve"),CONCATENATE("R10C",'R. Seguridad de la Información'!$U$63),"")</f>
        <v/>
      </c>
      <c r="K55" s="72" t="str">
        <f>IF(AND('R. Seguridad de la Información'!$AE$64="Muy Baja",'R. Seguridad de la Información'!$AG$64="Leve"),CONCATENATE("R10C",'R. Seguridad de la Información'!$U$64),"")</f>
        <v/>
      </c>
      <c r="L55" s="72" t="str">
        <f>IF(AND('R. Seguridad de la Información'!$AE$65="Muy Baja",'R. Seguridad de la Información'!$AG$65="Leve"),CONCATENATE("R10C",'R. Seguridad de la Información'!$U$65),"")</f>
        <v/>
      </c>
      <c r="M55" s="72" t="str">
        <f>IF(AND('R. Seguridad de la Información'!$AE$66="Muy Baja",'R. Seguridad de la Información'!$AG$66="Leve"),CONCATENATE("R10C",'R. Seguridad de la Información'!$U$66),"")</f>
        <v/>
      </c>
      <c r="N55" s="72" t="str">
        <f>IF(AND('R. Seguridad de la Información'!$AE$67="Muy Baja",'R. Seguridad de la Información'!$AG$67="Leve"),CONCATENATE("R10C",'R. Seguridad de la Información'!$U$67),"")</f>
        <v/>
      </c>
      <c r="O55" s="73" t="str">
        <f>IF(AND('R. Seguridad de la Información'!$AE$68="Muy Baja",'R. Seguridad de la Información'!$AG$68="Leve"),CONCATENATE("R10C",'R. Seguridad de la Información'!$U$68),"")</f>
        <v/>
      </c>
      <c r="P55" s="71" t="str">
        <f>IF(AND('R. Seguridad de la Información'!$AE$63="Muy Baja",'R. Seguridad de la Información'!$AG$63="Menor"),CONCATENATE("R10C",'R. Seguridad de la Información'!$U$63),"")</f>
        <v/>
      </c>
      <c r="Q55" s="72" t="str">
        <f>IF(AND('R. Seguridad de la Información'!$AE$64="Muy Baja",'R. Seguridad de la Información'!$AG$64="Menor"),CONCATENATE("R10C",'R. Seguridad de la Información'!$U$64),"")</f>
        <v/>
      </c>
      <c r="R55" s="72" t="str">
        <f>IF(AND('R. Seguridad de la Información'!$AE$65="Muy Baja",'R. Seguridad de la Información'!$AG$65="Menor"),CONCATENATE("R10C",'R. Seguridad de la Información'!$U$65),"")</f>
        <v/>
      </c>
      <c r="S55" s="72" t="str">
        <f>IF(AND('R. Seguridad de la Información'!$AE$66="Muy Baja",'R. Seguridad de la Información'!$AG$66="Menor"),CONCATENATE("R10C",'R. Seguridad de la Información'!$U$66),"")</f>
        <v/>
      </c>
      <c r="T55" s="72" t="str">
        <f>IF(AND('R. Seguridad de la Información'!$AE$67="Muy Baja",'R. Seguridad de la Información'!$AG$67="Menor"),CONCATENATE("R10C",'R. Seguridad de la Información'!$U$67),"")</f>
        <v/>
      </c>
      <c r="U55" s="73" t="str">
        <f>IF(AND('R. Seguridad de la Información'!$AE$68="Muy Baja",'R. Seguridad de la Información'!$AG$68="Menor"),CONCATENATE("R10C",'R. Seguridad de la Información'!$U$68),"")</f>
        <v/>
      </c>
      <c r="V55" s="62" t="str">
        <f>IF(AND('R. Seguridad de la Información'!$AE$63="Muy Baja",'R. Seguridad de la Información'!$AG$63="Moderado"),CONCATENATE("R10C",'R. Seguridad de la Información'!$U$63),"")</f>
        <v/>
      </c>
      <c r="W55" s="63" t="str">
        <f>IF(AND('R. Seguridad de la Información'!$AE$64="Muy Baja",'R. Seguridad de la Información'!$AG$64="Moderado"),CONCATENATE("R10C",'R. Seguridad de la Información'!$U$64),"")</f>
        <v/>
      </c>
      <c r="X55" s="63" t="str">
        <f>IF(AND('R. Seguridad de la Información'!$AE$65="Muy Baja",'R. Seguridad de la Información'!$AG$65="Moderado"),CONCATENATE("R10C",'R. Seguridad de la Información'!$U$65),"")</f>
        <v/>
      </c>
      <c r="Y55" s="63" t="str">
        <f>IF(AND('R. Seguridad de la Información'!$AE$66="Muy Baja",'R. Seguridad de la Información'!$AG$66="Moderado"),CONCATENATE("R10C",'R. Seguridad de la Información'!$U$66),"")</f>
        <v/>
      </c>
      <c r="Z55" s="63" t="str">
        <f>IF(AND('R. Seguridad de la Información'!$AE$67="Muy Baja",'R. Seguridad de la Información'!$AG$67="Moderado"),CONCATENATE("R10C",'R. Seguridad de la Información'!$U$67),"")</f>
        <v/>
      </c>
      <c r="AA55" s="64" t="str">
        <f>IF(AND('R. Seguridad de la Información'!$AE$68="Muy Baja",'R. Seguridad de la Información'!$AG$68="Moderado"),CONCATENATE("R10C",'R. Seguridad de la Información'!$U$68),"")</f>
        <v/>
      </c>
      <c r="AB55" s="50" t="str">
        <f>IF(AND('R. Seguridad de la Información'!$AE$63="Muy Baja",'R. Seguridad de la Información'!$AG$63="Mayor"),CONCATENATE("R10C",'R. Seguridad de la Información'!$U$63),"")</f>
        <v/>
      </c>
      <c r="AC55" s="51" t="str">
        <f>IF(AND('R. Seguridad de la Información'!$AE$64="Muy Baja",'R. Seguridad de la Información'!$AG$64="Mayor"),CONCATENATE("R10C",'R. Seguridad de la Información'!$U$64),"")</f>
        <v/>
      </c>
      <c r="AD55" s="51" t="str">
        <f>IF(AND('R. Seguridad de la Información'!$AE$65="Muy Baja",'R. Seguridad de la Información'!$AG$65="Mayor"),CONCATENATE("R10C",'R. Seguridad de la Información'!$U$65),"")</f>
        <v/>
      </c>
      <c r="AE55" s="51" t="str">
        <f>IF(AND('R. Seguridad de la Información'!$AE$66="Muy Baja",'R. Seguridad de la Información'!$AG$66="Mayor"),CONCATENATE("R10C",'R. Seguridad de la Información'!$U$66),"")</f>
        <v/>
      </c>
      <c r="AF55" s="51" t="str">
        <f>IF(AND('R. Seguridad de la Información'!$AE$67="Muy Baja",'R. Seguridad de la Información'!$AG$67="Mayor"),CONCATENATE("R10C",'R. Seguridad de la Información'!$U$67),"")</f>
        <v/>
      </c>
      <c r="AG55" s="52" t="str">
        <f>IF(AND('R. Seguridad de la Información'!$AE$68="Muy Baja",'R. Seguridad de la Información'!$AG$68="Mayor"),CONCATENATE("R10C",'R. Seguridad de la Información'!$U$68),"")</f>
        <v/>
      </c>
      <c r="AH55" s="53" t="str">
        <f>IF(AND('R. Seguridad de la Información'!$AE$63="Muy Baja",'R. Seguridad de la Información'!$AG$63="Catastrófico"),CONCATENATE("R10C",'R. Seguridad de la Información'!$U$63),"")</f>
        <v/>
      </c>
      <c r="AI55" s="54" t="str">
        <f>IF(AND('R. Seguridad de la Información'!$AE$64="Muy Baja",'R. Seguridad de la Información'!$AG$64="Catastrófico"),CONCATENATE("R10C",'R. Seguridad de la Información'!$U$64),"")</f>
        <v/>
      </c>
      <c r="AJ55" s="54" t="str">
        <f>IF(AND('R. Seguridad de la Información'!$AE$65="Muy Baja",'R. Seguridad de la Información'!$AG$65="Catastrófico"),CONCATENATE("R10C",'R. Seguridad de la Información'!$U$65),"")</f>
        <v/>
      </c>
      <c r="AK55" s="54" t="str">
        <f>IF(AND('R. Seguridad de la Información'!$AE$66="Muy Baja",'R. Seguridad de la Información'!$AG$66="Catastrófico"),CONCATENATE("R10C",'R. Seguridad de la Información'!$U$66),"")</f>
        <v/>
      </c>
      <c r="AL55" s="54" t="str">
        <f>IF(AND('R. Seguridad de la Información'!$AE$67="Muy Baja",'R. Seguridad de la Información'!$AG$67="Catastrófico"),CONCATENATE("R10C",'R. Seguridad de la Información'!$U$67),"")</f>
        <v/>
      </c>
      <c r="AM55" s="55" t="str">
        <f>IF(AND('R. Seguridad de la Información'!$AE$68="Muy Baja",'R. Seguridad de la Información'!$AG$68="Catastrófico"),CONCATENATE("R10C",'R. Seguridad de la Información'!$U$68),"")</f>
        <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620" t="s">
        <v>101</v>
      </c>
      <c r="K56" s="621"/>
      <c r="L56" s="621"/>
      <c r="M56" s="621"/>
      <c r="N56" s="621"/>
      <c r="O56" s="639"/>
      <c r="P56" s="620" t="s">
        <v>100</v>
      </c>
      <c r="Q56" s="621"/>
      <c r="R56" s="621"/>
      <c r="S56" s="621"/>
      <c r="T56" s="621"/>
      <c r="U56" s="639"/>
      <c r="V56" s="620" t="s">
        <v>99</v>
      </c>
      <c r="W56" s="621"/>
      <c r="X56" s="621"/>
      <c r="Y56" s="621"/>
      <c r="Z56" s="621"/>
      <c r="AA56" s="639"/>
      <c r="AB56" s="620" t="s">
        <v>98</v>
      </c>
      <c r="AC56" s="660"/>
      <c r="AD56" s="621"/>
      <c r="AE56" s="621"/>
      <c r="AF56" s="621"/>
      <c r="AG56" s="639"/>
      <c r="AH56" s="620" t="s">
        <v>97</v>
      </c>
      <c r="AI56" s="621"/>
      <c r="AJ56" s="621"/>
      <c r="AK56" s="621"/>
      <c r="AL56" s="621"/>
      <c r="AM56" s="639"/>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624"/>
      <c r="K57" s="625"/>
      <c r="L57" s="625"/>
      <c r="M57" s="625"/>
      <c r="N57" s="625"/>
      <c r="O57" s="640"/>
      <c r="P57" s="624"/>
      <c r="Q57" s="625"/>
      <c r="R57" s="625"/>
      <c r="S57" s="625"/>
      <c r="T57" s="625"/>
      <c r="U57" s="640"/>
      <c r="V57" s="624"/>
      <c r="W57" s="625"/>
      <c r="X57" s="625"/>
      <c r="Y57" s="625"/>
      <c r="Z57" s="625"/>
      <c r="AA57" s="640"/>
      <c r="AB57" s="624"/>
      <c r="AC57" s="625"/>
      <c r="AD57" s="625"/>
      <c r="AE57" s="625"/>
      <c r="AF57" s="625"/>
      <c r="AG57" s="640"/>
      <c r="AH57" s="624"/>
      <c r="AI57" s="625"/>
      <c r="AJ57" s="625"/>
      <c r="AK57" s="625"/>
      <c r="AL57" s="625"/>
      <c r="AM57" s="640"/>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624"/>
      <c r="K58" s="625"/>
      <c r="L58" s="625"/>
      <c r="M58" s="625"/>
      <c r="N58" s="625"/>
      <c r="O58" s="640"/>
      <c r="P58" s="624"/>
      <c r="Q58" s="625"/>
      <c r="R58" s="625"/>
      <c r="S58" s="625"/>
      <c r="T58" s="625"/>
      <c r="U58" s="640"/>
      <c r="V58" s="624"/>
      <c r="W58" s="625"/>
      <c r="X58" s="625"/>
      <c r="Y58" s="625"/>
      <c r="Z58" s="625"/>
      <c r="AA58" s="640"/>
      <c r="AB58" s="624"/>
      <c r="AC58" s="625"/>
      <c r="AD58" s="625"/>
      <c r="AE58" s="625"/>
      <c r="AF58" s="625"/>
      <c r="AG58" s="640"/>
      <c r="AH58" s="624"/>
      <c r="AI58" s="625"/>
      <c r="AJ58" s="625"/>
      <c r="AK58" s="625"/>
      <c r="AL58" s="625"/>
      <c r="AM58" s="640"/>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624"/>
      <c r="K59" s="625"/>
      <c r="L59" s="625"/>
      <c r="M59" s="625"/>
      <c r="N59" s="625"/>
      <c r="O59" s="640"/>
      <c r="P59" s="624"/>
      <c r="Q59" s="625"/>
      <c r="R59" s="625"/>
      <c r="S59" s="625"/>
      <c r="T59" s="625"/>
      <c r="U59" s="640"/>
      <c r="V59" s="624"/>
      <c r="W59" s="625"/>
      <c r="X59" s="625"/>
      <c r="Y59" s="625"/>
      <c r="Z59" s="625"/>
      <c r="AA59" s="640"/>
      <c r="AB59" s="624"/>
      <c r="AC59" s="625"/>
      <c r="AD59" s="625"/>
      <c r="AE59" s="625"/>
      <c r="AF59" s="625"/>
      <c r="AG59" s="640"/>
      <c r="AH59" s="624"/>
      <c r="AI59" s="625"/>
      <c r="AJ59" s="625"/>
      <c r="AK59" s="625"/>
      <c r="AL59" s="625"/>
      <c r="AM59" s="640"/>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624"/>
      <c r="K60" s="625"/>
      <c r="L60" s="625"/>
      <c r="M60" s="625"/>
      <c r="N60" s="625"/>
      <c r="O60" s="640"/>
      <c r="P60" s="624"/>
      <c r="Q60" s="625"/>
      <c r="R60" s="625"/>
      <c r="S60" s="625"/>
      <c r="T60" s="625"/>
      <c r="U60" s="640"/>
      <c r="V60" s="624"/>
      <c r="W60" s="625"/>
      <c r="X60" s="625"/>
      <c r="Y60" s="625"/>
      <c r="Z60" s="625"/>
      <c r="AA60" s="640"/>
      <c r="AB60" s="624"/>
      <c r="AC60" s="625"/>
      <c r="AD60" s="625"/>
      <c r="AE60" s="625"/>
      <c r="AF60" s="625"/>
      <c r="AG60" s="640"/>
      <c r="AH60" s="624"/>
      <c r="AI60" s="625"/>
      <c r="AJ60" s="625"/>
      <c r="AK60" s="625"/>
      <c r="AL60" s="625"/>
      <c r="AM60" s="640"/>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626"/>
      <c r="K61" s="627"/>
      <c r="L61" s="627"/>
      <c r="M61" s="627"/>
      <c r="N61" s="627"/>
      <c r="O61" s="641"/>
      <c r="P61" s="626"/>
      <c r="Q61" s="627"/>
      <c r="R61" s="627"/>
      <c r="S61" s="627"/>
      <c r="T61" s="627"/>
      <c r="U61" s="641"/>
      <c r="V61" s="626"/>
      <c r="W61" s="627"/>
      <c r="X61" s="627"/>
      <c r="Y61" s="627"/>
      <c r="Z61" s="627"/>
      <c r="AA61" s="641"/>
      <c r="AB61" s="626"/>
      <c r="AC61" s="627"/>
      <c r="AD61" s="627"/>
      <c r="AE61" s="627"/>
      <c r="AF61" s="627"/>
      <c r="AG61" s="641"/>
      <c r="AH61" s="626"/>
      <c r="AI61" s="627"/>
      <c r="AJ61" s="627"/>
      <c r="AK61" s="627"/>
      <c r="AL61" s="627"/>
      <c r="AM61" s="641"/>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A7" sqref="A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5"/>
      <c r="B1" s="661" t="s">
        <v>45</v>
      </c>
      <c r="C1" s="661"/>
      <c r="D1" s="661"/>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7"/>
      <c r="C3" s="8" t="s">
        <v>42</v>
      </c>
      <c r="D3" s="8" t="s">
        <v>3</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9" t="s">
        <v>41</v>
      </c>
      <c r="C4" s="10" t="s">
        <v>91</v>
      </c>
      <c r="D4" s="11">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2" t="s">
        <v>43</v>
      </c>
      <c r="C5" s="13" t="s">
        <v>92</v>
      </c>
      <c r="D5" s="14">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5" t="s">
        <v>96</v>
      </c>
      <c r="C6" s="13" t="s">
        <v>93</v>
      </c>
      <c r="D6" s="14">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6" t="s">
        <v>5</v>
      </c>
      <c r="C7" s="13" t="s">
        <v>94</v>
      </c>
      <c r="D7" s="14">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7" t="s">
        <v>44</v>
      </c>
      <c r="C8" s="13" t="s">
        <v>95</v>
      </c>
      <c r="D8" s="14">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5"/>
      <c r="B1" s="662" t="s">
        <v>53</v>
      </c>
      <c r="C1" s="662"/>
      <c r="D1" s="662"/>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7" t="s">
        <v>46</v>
      </c>
      <c r="D3" s="27" t="s">
        <v>47</v>
      </c>
      <c r="E3" s="75"/>
      <c r="F3" s="75"/>
      <c r="G3" s="75"/>
      <c r="H3" s="75"/>
      <c r="I3" s="75"/>
      <c r="J3" s="75"/>
      <c r="K3" s="75"/>
      <c r="L3" s="75"/>
      <c r="M3" s="75"/>
      <c r="N3" s="75"/>
      <c r="O3" s="75"/>
      <c r="P3" s="75"/>
      <c r="Q3" s="75"/>
      <c r="R3" s="75"/>
      <c r="S3" s="75"/>
      <c r="T3" s="75"/>
      <c r="U3" s="75"/>
    </row>
    <row r="4" spans="1:21" ht="33.75" x14ac:dyDescent="0.25">
      <c r="A4" s="95" t="s">
        <v>73</v>
      </c>
      <c r="B4" s="30" t="s">
        <v>90</v>
      </c>
      <c r="C4" s="35" t="s">
        <v>138</v>
      </c>
      <c r="D4" s="28" t="s">
        <v>86</v>
      </c>
      <c r="E4" s="75"/>
      <c r="F4" s="75"/>
      <c r="G4" s="75"/>
      <c r="H4" s="75"/>
      <c r="I4" s="75"/>
      <c r="J4" s="75"/>
      <c r="K4" s="75"/>
      <c r="L4" s="75"/>
      <c r="M4" s="75"/>
      <c r="N4" s="75"/>
      <c r="O4" s="75"/>
      <c r="P4" s="75"/>
      <c r="Q4" s="75"/>
      <c r="R4" s="75"/>
      <c r="S4" s="75"/>
      <c r="T4" s="75"/>
      <c r="U4" s="75"/>
    </row>
    <row r="5" spans="1:21" ht="67.5" x14ac:dyDescent="0.25">
      <c r="A5" s="95" t="s">
        <v>74</v>
      </c>
      <c r="B5" s="31" t="s">
        <v>49</v>
      </c>
      <c r="C5" s="36" t="s">
        <v>82</v>
      </c>
      <c r="D5" s="29" t="s">
        <v>87</v>
      </c>
      <c r="E5" s="75"/>
      <c r="F5" s="75"/>
      <c r="G5" s="75"/>
      <c r="H5" s="75"/>
      <c r="I5" s="75"/>
      <c r="J5" s="75"/>
      <c r="K5" s="75"/>
      <c r="L5" s="75"/>
      <c r="M5" s="75"/>
      <c r="N5" s="75"/>
      <c r="O5" s="75"/>
      <c r="P5" s="75"/>
      <c r="Q5" s="75"/>
      <c r="R5" s="75"/>
      <c r="S5" s="75"/>
      <c r="T5" s="75"/>
      <c r="U5" s="75"/>
    </row>
    <row r="6" spans="1:21" ht="67.5" x14ac:dyDescent="0.25">
      <c r="A6" s="95" t="s">
        <v>71</v>
      </c>
      <c r="B6" s="32" t="s">
        <v>50</v>
      </c>
      <c r="C6" s="36" t="s">
        <v>83</v>
      </c>
      <c r="D6" s="29" t="s">
        <v>89</v>
      </c>
      <c r="E6" s="75"/>
      <c r="F6" s="75"/>
      <c r="G6" s="75"/>
      <c r="H6" s="75"/>
      <c r="I6" s="75"/>
      <c r="J6" s="75"/>
      <c r="K6" s="75"/>
      <c r="L6" s="75"/>
      <c r="M6" s="75"/>
      <c r="N6" s="75"/>
      <c r="O6" s="75"/>
      <c r="P6" s="75"/>
      <c r="Q6" s="75"/>
      <c r="R6" s="75"/>
      <c r="S6" s="75"/>
      <c r="T6" s="75"/>
      <c r="U6" s="75"/>
    </row>
    <row r="7" spans="1:21" ht="101.25" x14ac:dyDescent="0.25">
      <c r="A7" s="95" t="s">
        <v>6</v>
      </c>
      <c r="B7" s="33" t="s">
        <v>51</v>
      </c>
      <c r="C7" s="36" t="s">
        <v>84</v>
      </c>
      <c r="D7" s="29" t="s">
        <v>88</v>
      </c>
      <c r="E7" s="75"/>
      <c r="F7" s="75"/>
      <c r="G7" s="75"/>
      <c r="H7" s="75"/>
      <c r="I7" s="75"/>
      <c r="J7" s="75"/>
      <c r="K7" s="75"/>
      <c r="L7" s="75"/>
      <c r="M7" s="75"/>
      <c r="N7" s="75"/>
      <c r="O7" s="75"/>
      <c r="P7" s="75"/>
      <c r="Q7" s="75"/>
      <c r="R7" s="75"/>
      <c r="S7" s="75"/>
      <c r="T7" s="75"/>
      <c r="U7" s="75"/>
    </row>
    <row r="8" spans="1:21" ht="67.5" x14ac:dyDescent="0.25">
      <c r="A8" s="95" t="s">
        <v>75</v>
      </c>
      <c r="B8" s="34" t="s">
        <v>52</v>
      </c>
      <c r="C8" s="36" t="s">
        <v>85</v>
      </c>
      <c r="D8" s="29" t="s">
        <v>107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80</v>
      </c>
      <c r="C11" s="95" t="s">
        <v>126</v>
      </c>
      <c r="D11" s="95" t="s">
        <v>133</v>
      </c>
      <c r="E11" s="75"/>
      <c r="F11" s="75"/>
      <c r="G11" s="75"/>
      <c r="H11" s="75"/>
      <c r="I11" s="75"/>
      <c r="J11" s="75"/>
      <c r="K11" s="75"/>
      <c r="L11" s="75"/>
      <c r="M11" s="75"/>
      <c r="N11" s="75"/>
      <c r="O11" s="75"/>
      <c r="P11" s="75"/>
      <c r="Q11" s="75"/>
      <c r="R11" s="75"/>
      <c r="S11" s="75"/>
      <c r="T11" s="75"/>
      <c r="U11" s="75"/>
    </row>
    <row r="12" spans="1:21" x14ac:dyDescent="0.25">
      <c r="A12" s="95"/>
      <c r="B12" s="95" t="s">
        <v>78</v>
      </c>
      <c r="C12" s="95" t="s">
        <v>130</v>
      </c>
      <c r="D12" s="95" t="s">
        <v>134</v>
      </c>
      <c r="E12" s="75"/>
      <c r="F12" s="75"/>
      <c r="G12" s="75"/>
      <c r="H12" s="75"/>
      <c r="I12" s="75"/>
      <c r="J12" s="75"/>
      <c r="K12" s="75"/>
      <c r="L12" s="75"/>
      <c r="M12" s="75"/>
      <c r="N12" s="75"/>
      <c r="O12" s="75"/>
      <c r="P12" s="75"/>
      <c r="Q12" s="75"/>
      <c r="R12" s="75"/>
      <c r="S12" s="75"/>
      <c r="T12" s="75"/>
      <c r="U12" s="75"/>
    </row>
    <row r="13" spans="1:21" x14ac:dyDescent="0.25">
      <c r="A13" s="95"/>
      <c r="B13" s="95"/>
      <c r="C13" s="95" t="s">
        <v>129</v>
      </c>
      <c r="D13" s="95" t="s">
        <v>135</v>
      </c>
      <c r="E13" s="75"/>
      <c r="F13" s="75"/>
      <c r="G13" s="75"/>
      <c r="H13" s="75"/>
      <c r="I13" s="75"/>
      <c r="J13" s="75"/>
      <c r="K13" s="75"/>
      <c r="L13" s="75"/>
      <c r="M13" s="75"/>
      <c r="N13" s="75"/>
      <c r="O13" s="75"/>
      <c r="P13" s="75"/>
      <c r="Q13" s="75"/>
      <c r="R13" s="75"/>
      <c r="S13" s="75"/>
      <c r="T13" s="75"/>
      <c r="U13" s="75"/>
    </row>
    <row r="14" spans="1:21" x14ac:dyDescent="0.25">
      <c r="A14" s="95"/>
      <c r="B14" s="95"/>
      <c r="C14" s="95" t="s">
        <v>131</v>
      </c>
      <c r="D14" s="95" t="s">
        <v>136</v>
      </c>
      <c r="E14" s="75"/>
      <c r="F14" s="75"/>
      <c r="G14" s="75"/>
      <c r="H14" s="75"/>
      <c r="I14" s="75"/>
      <c r="J14" s="75"/>
      <c r="K14" s="75"/>
      <c r="L14" s="75"/>
      <c r="M14" s="75"/>
      <c r="N14" s="75"/>
      <c r="O14" s="75"/>
      <c r="P14" s="75"/>
      <c r="Q14" s="75"/>
      <c r="R14" s="75"/>
      <c r="S14" s="75"/>
      <c r="T14" s="75"/>
      <c r="U14" s="75"/>
    </row>
    <row r="15" spans="1:21" x14ac:dyDescent="0.25">
      <c r="A15" s="95"/>
      <c r="B15" s="95"/>
      <c r="C15" s="95" t="s">
        <v>132</v>
      </c>
      <c r="D15" s="95" t="s">
        <v>137</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19"/>
      <c r="C52" s="25"/>
      <c r="D52" s="25"/>
    </row>
    <row r="53" spans="1:15" ht="20.25" x14ac:dyDescent="0.25">
      <c r="A53" s="95"/>
      <c r="B53" s="19"/>
      <c r="C53" s="25"/>
      <c r="D53" s="25"/>
    </row>
    <row r="54" spans="1:15" ht="20.25" x14ac:dyDescent="0.25">
      <c r="A54" s="95"/>
      <c r="B54" s="19"/>
      <c r="C54" s="25"/>
      <c r="D54" s="25"/>
    </row>
    <row r="55" spans="1:15" ht="20.25" x14ac:dyDescent="0.25">
      <c r="A55" s="95"/>
      <c r="B55" s="19"/>
      <c r="C55" s="25"/>
      <c r="D55" s="25"/>
    </row>
    <row r="56" spans="1:15" ht="20.25" x14ac:dyDescent="0.25">
      <c r="A56" s="95"/>
      <c r="B56" s="19"/>
      <c r="C56" s="25"/>
      <c r="D56" s="25"/>
    </row>
    <row r="57" spans="1:15" ht="20.25" x14ac:dyDescent="0.25">
      <c r="A57" s="95"/>
      <c r="B57" s="19"/>
      <c r="C57" s="25"/>
      <c r="D57" s="25"/>
    </row>
    <row r="58" spans="1:15" ht="20.25" x14ac:dyDescent="0.25">
      <c r="A58" s="95"/>
      <c r="B58" s="19"/>
      <c r="C58" s="25"/>
      <c r="D58" s="25"/>
    </row>
    <row r="59" spans="1:15" ht="20.25" x14ac:dyDescent="0.25">
      <c r="A59" s="95"/>
      <c r="B59" s="19"/>
      <c r="C59" s="25"/>
      <c r="D59" s="25"/>
    </row>
    <row r="60" spans="1:15" ht="20.25" x14ac:dyDescent="0.25">
      <c r="A60" s="95"/>
      <c r="B60" s="19"/>
      <c r="C60" s="25"/>
      <c r="D60" s="25"/>
    </row>
    <row r="61" spans="1:15" ht="20.25" x14ac:dyDescent="0.25">
      <c r="A61" s="95"/>
      <c r="B61" s="19"/>
      <c r="C61" s="25"/>
      <c r="D61" s="25"/>
    </row>
    <row r="62" spans="1:15" ht="20.25" x14ac:dyDescent="0.25">
      <c r="A62" s="95"/>
      <c r="B62" s="19"/>
      <c r="C62" s="25"/>
      <c r="D62" s="25"/>
    </row>
    <row r="63" spans="1:15" ht="20.25" x14ac:dyDescent="0.25">
      <c r="A63" s="95"/>
      <c r="B63" s="19"/>
      <c r="C63" s="25"/>
      <c r="D63" s="25"/>
    </row>
    <row r="64" spans="1:15" ht="20.25" x14ac:dyDescent="0.25">
      <c r="A64" s="95"/>
      <c r="B64" s="19"/>
      <c r="C64" s="25"/>
      <c r="D64" s="25"/>
    </row>
    <row r="65" spans="1:4" ht="20.25" x14ac:dyDescent="0.25">
      <c r="A65" s="95"/>
      <c r="B65" s="19"/>
      <c r="C65" s="25"/>
      <c r="D65" s="25"/>
    </row>
    <row r="66" spans="1:4" ht="20.25" x14ac:dyDescent="0.25">
      <c r="A66" s="95"/>
      <c r="B66" s="19"/>
      <c r="C66" s="25"/>
      <c r="D66" s="25"/>
    </row>
    <row r="67" spans="1:4" ht="20.25" x14ac:dyDescent="0.25">
      <c r="A67" s="95"/>
      <c r="B67" s="19"/>
      <c r="C67" s="25"/>
      <c r="D67" s="25"/>
    </row>
    <row r="68" spans="1:4" ht="20.25" x14ac:dyDescent="0.25">
      <c r="A68" s="95"/>
      <c r="B68" s="19"/>
      <c r="C68" s="25"/>
      <c r="D68" s="25"/>
    </row>
    <row r="69" spans="1:4" ht="20.25" x14ac:dyDescent="0.25">
      <c r="A69" s="95"/>
      <c r="B69" s="19"/>
      <c r="C69" s="25"/>
      <c r="D69" s="25"/>
    </row>
    <row r="70" spans="1:4" ht="20.25" x14ac:dyDescent="0.25">
      <c r="A70" s="95"/>
      <c r="B70" s="19"/>
      <c r="C70" s="25"/>
      <c r="D70" s="25"/>
    </row>
    <row r="71" spans="1:4" ht="20.25" x14ac:dyDescent="0.25">
      <c r="A71" s="95"/>
      <c r="B71" s="19"/>
      <c r="C71" s="25"/>
      <c r="D71" s="25"/>
    </row>
    <row r="72" spans="1:4" ht="20.25" x14ac:dyDescent="0.25">
      <c r="A72" s="95"/>
      <c r="B72" s="19"/>
      <c r="C72" s="25"/>
      <c r="D72" s="25"/>
    </row>
    <row r="73" spans="1:4" ht="20.25" x14ac:dyDescent="0.25">
      <c r="A73" s="95"/>
      <c r="B73" s="19"/>
      <c r="C73" s="25"/>
      <c r="D73" s="25"/>
    </row>
    <row r="74" spans="1:4" ht="20.25" x14ac:dyDescent="0.25">
      <c r="A74" s="95"/>
      <c r="B74" s="19"/>
      <c r="C74" s="25"/>
      <c r="D74" s="25"/>
    </row>
    <row r="75" spans="1:4" ht="20.25" x14ac:dyDescent="0.25">
      <c r="A75" s="95"/>
      <c r="B75" s="19"/>
      <c r="C75" s="25"/>
      <c r="D75" s="25"/>
    </row>
    <row r="76" spans="1:4" ht="20.25" x14ac:dyDescent="0.25">
      <c r="A76" s="95"/>
      <c r="B76" s="19"/>
      <c r="C76" s="25"/>
      <c r="D76" s="25"/>
    </row>
    <row r="77" spans="1:4" ht="20.25" x14ac:dyDescent="0.25">
      <c r="A77" s="95"/>
      <c r="B77" s="19"/>
      <c r="C77" s="25"/>
      <c r="D77" s="25"/>
    </row>
    <row r="78" spans="1:4" ht="20.25" x14ac:dyDescent="0.25">
      <c r="A78" s="95"/>
      <c r="B78" s="19"/>
      <c r="C78" s="25"/>
      <c r="D78" s="25"/>
    </row>
    <row r="79" spans="1:4" ht="20.25" x14ac:dyDescent="0.25">
      <c r="A79" s="95"/>
      <c r="B79" s="19"/>
      <c r="C79" s="25"/>
      <c r="D79" s="25"/>
    </row>
    <row r="80" spans="1:4" ht="20.25" x14ac:dyDescent="0.25">
      <c r="A80" s="95"/>
      <c r="B80" s="19"/>
      <c r="C80" s="25"/>
      <c r="D80" s="25"/>
    </row>
    <row r="81" spans="1:4" ht="20.25" x14ac:dyDescent="0.25">
      <c r="A81" s="95"/>
      <c r="B81" s="19"/>
      <c r="C81" s="25"/>
      <c r="D81" s="25"/>
    </row>
    <row r="82" spans="1:4" ht="20.25" x14ac:dyDescent="0.25">
      <c r="A82" s="95"/>
      <c r="B82" s="19"/>
      <c r="C82" s="25"/>
      <c r="D82" s="25"/>
    </row>
    <row r="83" spans="1:4" ht="20.25" x14ac:dyDescent="0.25">
      <c r="A83" s="95"/>
      <c r="B83" s="19"/>
      <c r="C83" s="25"/>
      <c r="D83" s="25"/>
    </row>
    <row r="84" spans="1:4" ht="20.25" x14ac:dyDescent="0.25">
      <c r="A84" s="95"/>
      <c r="B84" s="19"/>
      <c r="C84" s="25"/>
      <c r="D84" s="25"/>
    </row>
    <row r="85" spans="1:4" ht="20.25" x14ac:dyDescent="0.25">
      <c r="A85" s="95"/>
      <c r="B85" s="19"/>
      <c r="C85" s="25"/>
      <c r="D85" s="25"/>
    </row>
    <row r="86" spans="1:4" ht="20.25" x14ac:dyDescent="0.25">
      <c r="A86" s="95"/>
      <c r="B86" s="19"/>
      <c r="C86" s="25"/>
      <c r="D86" s="25"/>
    </row>
    <row r="87" spans="1:4" ht="20.25" x14ac:dyDescent="0.25">
      <c r="A87" s="95"/>
      <c r="B87" s="19"/>
      <c r="C87" s="25"/>
      <c r="D87" s="25"/>
    </row>
    <row r="88" spans="1:4" ht="20.25" x14ac:dyDescent="0.25">
      <c r="A88" s="95"/>
      <c r="B88" s="19"/>
      <c r="C88" s="25"/>
      <c r="D88" s="25"/>
    </row>
    <row r="89" spans="1:4" ht="20.25" x14ac:dyDescent="0.25">
      <c r="A89" s="95"/>
      <c r="B89" s="19"/>
      <c r="C89" s="25"/>
      <c r="D89" s="25"/>
    </row>
    <row r="90" spans="1:4" ht="20.25" x14ac:dyDescent="0.25">
      <c r="A90" s="95"/>
      <c r="B90" s="19"/>
      <c r="C90" s="25"/>
      <c r="D90" s="25"/>
    </row>
    <row r="91" spans="1:4" ht="20.25" x14ac:dyDescent="0.25">
      <c r="A91" s="95"/>
      <c r="B91" s="19"/>
      <c r="C91" s="25"/>
      <c r="D91" s="25"/>
    </row>
    <row r="92" spans="1:4" ht="20.25" x14ac:dyDescent="0.25">
      <c r="A92" s="95"/>
      <c r="B92" s="19"/>
      <c r="C92" s="25"/>
      <c r="D92" s="25"/>
    </row>
    <row r="93" spans="1:4" ht="20.25" x14ac:dyDescent="0.25">
      <c r="A93" s="95"/>
      <c r="B93" s="19"/>
      <c r="C93" s="25"/>
      <c r="D93" s="25"/>
    </row>
    <row r="94" spans="1:4" ht="20.25" x14ac:dyDescent="0.25">
      <c r="A94" s="95"/>
      <c r="B94" s="19"/>
      <c r="C94" s="25"/>
      <c r="D94" s="25"/>
    </row>
    <row r="95" spans="1:4" ht="20.25" x14ac:dyDescent="0.25">
      <c r="A95" s="95"/>
      <c r="B95" s="19"/>
      <c r="C95" s="25"/>
      <c r="D95" s="25"/>
    </row>
    <row r="96" spans="1:4" ht="20.25" x14ac:dyDescent="0.25">
      <c r="A96" s="95"/>
      <c r="B96" s="19"/>
      <c r="C96" s="25"/>
      <c r="D96" s="25"/>
    </row>
    <row r="97" spans="1:4" ht="20.25" x14ac:dyDescent="0.25">
      <c r="A97" s="95"/>
      <c r="B97" s="19"/>
      <c r="C97" s="25"/>
      <c r="D97" s="25"/>
    </row>
    <row r="98" spans="1:4" ht="20.25" x14ac:dyDescent="0.25">
      <c r="A98" s="95"/>
      <c r="B98" s="19"/>
      <c r="C98" s="25"/>
      <c r="D98" s="25"/>
    </row>
    <row r="99" spans="1:4" ht="20.25" x14ac:dyDescent="0.25">
      <c r="A99" s="95"/>
      <c r="B99" s="19"/>
      <c r="C99" s="25"/>
      <c r="D99" s="25"/>
    </row>
    <row r="100" spans="1:4" ht="20.25" x14ac:dyDescent="0.25">
      <c r="A100" s="95"/>
      <c r="B100" s="19"/>
      <c r="C100" s="25"/>
      <c r="D100" s="25"/>
    </row>
    <row r="101" spans="1:4" ht="20.25" x14ac:dyDescent="0.25">
      <c r="A101" s="95"/>
      <c r="B101" s="19"/>
      <c r="C101" s="25"/>
      <c r="D101" s="25"/>
    </row>
    <row r="102" spans="1:4" ht="20.25" x14ac:dyDescent="0.25">
      <c r="A102" s="95"/>
      <c r="B102" s="19"/>
      <c r="C102" s="25"/>
      <c r="D102" s="25"/>
    </row>
    <row r="103" spans="1:4" ht="20.25" x14ac:dyDescent="0.25">
      <c r="A103" s="95"/>
      <c r="B103" s="19"/>
      <c r="C103" s="25"/>
      <c r="D103" s="25"/>
    </row>
    <row r="104" spans="1:4" ht="20.25" x14ac:dyDescent="0.25">
      <c r="A104" s="95"/>
      <c r="B104" s="19"/>
      <c r="C104" s="25"/>
      <c r="D104" s="25"/>
    </row>
    <row r="105" spans="1:4" ht="20.25" x14ac:dyDescent="0.25">
      <c r="A105" s="95"/>
      <c r="B105" s="19"/>
      <c r="C105" s="25"/>
      <c r="D105" s="25"/>
    </row>
    <row r="106" spans="1:4" ht="20.25" x14ac:dyDescent="0.25">
      <c r="A106" s="95"/>
      <c r="B106" s="19"/>
      <c r="C106" s="25"/>
      <c r="D106" s="25"/>
    </row>
    <row r="107" spans="1:4" ht="20.25" x14ac:dyDescent="0.25">
      <c r="A107" s="95"/>
      <c r="B107" s="19"/>
      <c r="C107" s="25"/>
      <c r="D107" s="25"/>
    </row>
    <row r="108" spans="1:4" ht="20.25" x14ac:dyDescent="0.25">
      <c r="A108" s="95"/>
      <c r="B108" s="19"/>
      <c r="C108" s="25"/>
      <c r="D108" s="25"/>
    </row>
    <row r="109" spans="1:4" ht="20.25" x14ac:dyDescent="0.25">
      <c r="A109" s="95"/>
      <c r="B109" s="19"/>
      <c r="C109" s="25"/>
      <c r="D109" s="25"/>
    </row>
    <row r="110" spans="1:4" ht="20.25" x14ac:dyDescent="0.25">
      <c r="A110" s="95"/>
      <c r="B110" s="19"/>
      <c r="C110" s="25"/>
      <c r="D110" s="25"/>
    </row>
    <row r="111" spans="1:4" ht="20.25" x14ac:dyDescent="0.25">
      <c r="A111" s="95"/>
      <c r="B111" s="19"/>
      <c r="C111" s="25"/>
      <c r="D111" s="25"/>
    </row>
    <row r="112" spans="1:4" ht="20.25" x14ac:dyDescent="0.25">
      <c r="A112" s="95"/>
      <c r="B112" s="19"/>
      <c r="C112" s="25"/>
      <c r="D112" s="25"/>
    </row>
    <row r="113" spans="1:4" ht="20.25" x14ac:dyDescent="0.25">
      <c r="A113" s="95"/>
      <c r="B113" s="19"/>
      <c r="C113" s="25"/>
      <c r="D113" s="25"/>
    </row>
    <row r="114" spans="1:4" ht="20.25" x14ac:dyDescent="0.25">
      <c r="A114" s="95"/>
      <c r="B114" s="19"/>
      <c r="C114" s="25"/>
      <c r="D114" s="25"/>
    </row>
    <row r="115" spans="1:4" ht="20.25" x14ac:dyDescent="0.25">
      <c r="A115" s="95"/>
      <c r="B115" s="19"/>
      <c r="C115" s="25"/>
      <c r="D115" s="25"/>
    </row>
    <row r="116" spans="1:4" ht="20.25" x14ac:dyDescent="0.25">
      <c r="A116" s="95"/>
      <c r="B116" s="19"/>
      <c r="C116" s="25"/>
      <c r="D116" s="25"/>
    </row>
    <row r="117" spans="1:4" ht="20.25" x14ac:dyDescent="0.25">
      <c r="A117" s="95"/>
      <c r="B117" s="19"/>
      <c r="C117" s="25"/>
      <c r="D117" s="25"/>
    </row>
    <row r="118" spans="1:4" ht="20.25" x14ac:dyDescent="0.25">
      <c r="A118" s="95"/>
      <c r="B118" s="19"/>
      <c r="C118" s="25"/>
      <c r="D118" s="25"/>
    </row>
    <row r="119" spans="1:4" ht="20.25" x14ac:dyDescent="0.25">
      <c r="A119" s="95"/>
      <c r="B119" s="19"/>
      <c r="C119" s="25"/>
      <c r="D119" s="25"/>
    </row>
    <row r="120" spans="1:4" ht="20.25" x14ac:dyDescent="0.25">
      <c r="A120" s="95"/>
      <c r="B120" s="19"/>
      <c r="C120" s="25"/>
      <c r="D120" s="25"/>
    </row>
    <row r="121" spans="1:4" ht="20.25" x14ac:dyDescent="0.25">
      <c r="A121" s="95"/>
      <c r="B121" s="19"/>
      <c r="C121" s="25"/>
      <c r="D121" s="25"/>
    </row>
    <row r="122" spans="1:4" ht="20.25" x14ac:dyDescent="0.25">
      <c r="A122" s="95"/>
      <c r="B122" s="19"/>
      <c r="C122" s="25"/>
      <c r="D122" s="25"/>
    </row>
    <row r="123" spans="1:4" ht="20.25" x14ac:dyDescent="0.25">
      <c r="A123" s="95"/>
      <c r="B123" s="19"/>
      <c r="C123" s="25"/>
      <c r="D123" s="25"/>
    </row>
    <row r="124" spans="1:4" ht="20.25" x14ac:dyDescent="0.25">
      <c r="A124" s="95"/>
      <c r="B124" s="19"/>
      <c r="C124" s="25"/>
      <c r="D124" s="25"/>
    </row>
    <row r="125" spans="1:4" ht="20.25" x14ac:dyDescent="0.25">
      <c r="A125" s="95"/>
      <c r="B125" s="19"/>
      <c r="C125" s="25"/>
      <c r="D125" s="25"/>
    </row>
    <row r="126" spans="1:4" ht="20.25" x14ac:dyDescent="0.25">
      <c r="A126" s="95"/>
      <c r="B126" s="19"/>
      <c r="C126" s="25"/>
      <c r="D126" s="25"/>
    </row>
    <row r="127" spans="1:4" ht="20.25" x14ac:dyDescent="0.25">
      <c r="A127" s="95"/>
      <c r="B127" s="19"/>
      <c r="C127" s="25"/>
      <c r="D127" s="25"/>
    </row>
    <row r="128" spans="1:4" ht="20.25" x14ac:dyDescent="0.25">
      <c r="A128" s="95"/>
      <c r="B128" s="19"/>
      <c r="C128" s="25"/>
      <c r="D128" s="25"/>
    </row>
    <row r="129" spans="1:4" ht="20.25" x14ac:dyDescent="0.25">
      <c r="A129" s="95"/>
      <c r="B129" s="19"/>
      <c r="C129" s="25"/>
      <c r="D129" s="25"/>
    </row>
    <row r="130" spans="1:4" ht="20.25" x14ac:dyDescent="0.25">
      <c r="A130" s="95"/>
      <c r="B130" s="19"/>
      <c r="C130" s="25"/>
      <c r="D130" s="25"/>
    </row>
    <row r="131" spans="1:4" ht="20.25" x14ac:dyDescent="0.25">
      <c r="A131" s="95"/>
      <c r="B131" s="19"/>
      <c r="C131" s="25"/>
      <c r="D131" s="25"/>
    </row>
    <row r="132" spans="1:4" ht="20.25" x14ac:dyDescent="0.25">
      <c r="A132" s="95"/>
      <c r="B132" s="19"/>
      <c r="C132" s="25"/>
      <c r="D132" s="25"/>
    </row>
    <row r="133" spans="1:4" ht="20.25" x14ac:dyDescent="0.25">
      <c r="A133" s="95"/>
      <c r="B133" s="19"/>
      <c r="C133" s="25"/>
      <c r="D133" s="25"/>
    </row>
    <row r="134" spans="1:4" ht="20.25" x14ac:dyDescent="0.25">
      <c r="A134" s="95"/>
      <c r="B134" s="19"/>
      <c r="C134" s="25"/>
      <c r="D134" s="25"/>
    </row>
    <row r="135" spans="1:4" ht="20.25" x14ac:dyDescent="0.25">
      <c r="A135" s="95"/>
      <c r="B135" s="19"/>
      <c r="C135" s="25"/>
      <c r="D135" s="25"/>
    </row>
    <row r="136" spans="1:4" ht="20.25" x14ac:dyDescent="0.25">
      <c r="A136" s="95"/>
      <c r="B136" s="19"/>
      <c r="C136" s="25"/>
      <c r="D136" s="25"/>
    </row>
    <row r="137" spans="1:4" ht="20.25" x14ac:dyDescent="0.25">
      <c r="A137" s="95"/>
      <c r="B137" s="19"/>
      <c r="C137" s="25"/>
      <c r="D137" s="25"/>
    </row>
    <row r="138" spans="1:4" ht="20.25" x14ac:dyDescent="0.25">
      <c r="A138" s="95"/>
      <c r="B138" s="19"/>
      <c r="C138" s="25"/>
      <c r="D138" s="25"/>
    </row>
    <row r="139" spans="1:4" ht="20.25" x14ac:dyDescent="0.25">
      <c r="A139" s="95"/>
      <c r="B139" s="19"/>
      <c r="C139" s="25"/>
      <c r="D139" s="25"/>
    </row>
    <row r="140" spans="1:4" ht="20.25" x14ac:dyDescent="0.25">
      <c r="A140" s="95"/>
      <c r="B140" s="19"/>
      <c r="C140" s="25"/>
      <c r="D140" s="25"/>
    </row>
    <row r="141" spans="1:4" ht="20.25" x14ac:dyDescent="0.25">
      <c r="A141" s="95"/>
      <c r="B141" s="19"/>
      <c r="C141" s="25"/>
      <c r="D141" s="25"/>
    </row>
    <row r="142" spans="1:4" ht="20.25" x14ac:dyDescent="0.25">
      <c r="A142" s="95"/>
      <c r="B142" s="19"/>
      <c r="C142" s="25"/>
      <c r="D142" s="25"/>
    </row>
    <row r="143" spans="1:4" ht="20.25" x14ac:dyDescent="0.25">
      <c r="A143" s="95"/>
      <c r="B143" s="19"/>
      <c r="C143" s="25"/>
      <c r="D143" s="25"/>
    </row>
    <row r="144" spans="1:4" ht="20.25" x14ac:dyDescent="0.25">
      <c r="A144" s="95"/>
      <c r="B144" s="19"/>
      <c r="C144" s="25"/>
      <c r="D144" s="25"/>
    </row>
    <row r="145" spans="1:4" ht="20.25" x14ac:dyDescent="0.25">
      <c r="A145" s="95"/>
      <c r="B145" s="19"/>
      <c r="C145" s="25"/>
      <c r="D145" s="25"/>
    </row>
    <row r="146" spans="1:4" ht="20.25" x14ac:dyDescent="0.25">
      <c r="A146" s="95"/>
      <c r="B146" s="19"/>
      <c r="C146" s="25"/>
      <c r="D146" s="25"/>
    </row>
    <row r="147" spans="1:4" ht="20.25" x14ac:dyDescent="0.25">
      <c r="A147" s="95"/>
      <c r="B147" s="19"/>
      <c r="C147" s="25"/>
      <c r="D147" s="25"/>
    </row>
    <row r="148" spans="1:4" ht="20.25" x14ac:dyDescent="0.25">
      <c r="A148" s="95"/>
      <c r="B148" s="19"/>
      <c r="C148" s="25"/>
      <c r="D148" s="25"/>
    </row>
    <row r="149" spans="1:4" ht="20.25" x14ac:dyDescent="0.25">
      <c r="A149" s="95"/>
      <c r="B149" s="19"/>
      <c r="C149" s="25"/>
      <c r="D149" s="25"/>
    </row>
    <row r="150" spans="1:4" ht="20.25" x14ac:dyDescent="0.25">
      <c r="A150" s="95"/>
      <c r="B150" s="19"/>
      <c r="C150" s="25"/>
      <c r="D150" s="25"/>
    </row>
    <row r="151" spans="1:4" ht="20.25" x14ac:dyDescent="0.25">
      <c r="A151" s="95"/>
      <c r="B151" s="19"/>
      <c r="C151" s="25"/>
      <c r="D151" s="25"/>
    </row>
    <row r="152" spans="1:4" ht="20.25" x14ac:dyDescent="0.25">
      <c r="A152" s="95"/>
      <c r="B152" s="19"/>
      <c r="C152" s="25"/>
      <c r="D152" s="25"/>
    </row>
    <row r="153" spans="1:4" ht="20.25" x14ac:dyDescent="0.25">
      <c r="A153" s="95"/>
      <c r="B153" s="19"/>
      <c r="C153" s="25"/>
      <c r="D153" s="25"/>
    </row>
    <row r="154" spans="1:4" ht="20.25" x14ac:dyDescent="0.25">
      <c r="A154" s="95"/>
      <c r="B154" s="19"/>
      <c r="C154" s="25"/>
      <c r="D154" s="25"/>
    </row>
    <row r="155" spans="1:4" ht="20.25" x14ac:dyDescent="0.25">
      <c r="A155" s="95"/>
      <c r="B155" s="19"/>
      <c r="C155" s="25"/>
      <c r="D155" s="25"/>
    </row>
    <row r="156" spans="1:4" ht="20.25" x14ac:dyDescent="0.25">
      <c r="A156" s="95"/>
      <c r="B156" s="19"/>
      <c r="C156" s="25"/>
      <c r="D156" s="25"/>
    </row>
    <row r="157" spans="1:4" ht="20.25" x14ac:dyDescent="0.25">
      <c r="A157" s="95"/>
      <c r="B157" s="19"/>
      <c r="C157" s="25"/>
      <c r="D157" s="25"/>
    </row>
    <row r="158" spans="1:4" ht="20.25" x14ac:dyDescent="0.25">
      <c r="A158" s="95"/>
      <c r="B158" s="19"/>
      <c r="C158" s="25"/>
      <c r="D158" s="25"/>
    </row>
    <row r="159" spans="1:4" ht="20.25" x14ac:dyDescent="0.25">
      <c r="A159" s="95"/>
      <c r="B159" s="19"/>
      <c r="C159" s="25"/>
      <c r="D159" s="25"/>
    </row>
    <row r="160" spans="1:4" ht="20.25" x14ac:dyDescent="0.25">
      <c r="A160" s="95"/>
      <c r="B160" s="19"/>
      <c r="C160" s="25"/>
      <c r="D160" s="25"/>
    </row>
    <row r="161" spans="1:4" ht="20.25" x14ac:dyDescent="0.25">
      <c r="A161" s="95"/>
      <c r="B161" s="19"/>
      <c r="C161" s="25"/>
      <c r="D161" s="25"/>
    </row>
    <row r="162" spans="1:4" ht="20.25" x14ac:dyDescent="0.25">
      <c r="A162" s="95"/>
      <c r="B162" s="19"/>
      <c r="C162" s="25"/>
      <c r="D162" s="25"/>
    </row>
    <row r="163" spans="1:4" ht="20.25" x14ac:dyDescent="0.25">
      <c r="A163" s="95"/>
      <c r="B163" s="19"/>
      <c r="C163" s="25"/>
      <c r="D163" s="25"/>
    </row>
    <row r="164" spans="1:4" ht="20.25" x14ac:dyDescent="0.25">
      <c r="A164" s="95"/>
      <c r="B164" s="19"/>
      <c r="C164" s="25"/>
      <c r="D164" s="25"/>
    </row>
    <row r="165" spans="1:4" ht="20.25" x14ac:dyDescent="0.25">
      <c r="A165" s="95"/>
      <c r="B165" s="19"/>
      <c r="C165" s="25"/>
      <c r="D165" s="25"/>
    </row>
    <row r="166" spans="1:4" ht="20.25" x14ac:dyDescent="0.25">
      <c r="A166" s="95"/>
      <c r="B166" s="19"/>
      <c r="C166" s="25"/>
      <c r="D166" s="25"/>
    </row>
    <row r="167" spans="1:4" ht="20.25" x14ac:dyDescent="0.25">
      <c r="A167" s="95"/>
      <c r="B167" s="19"/>
      <c r="C167" s="25"/>
      <c r="D167" s="25"/>
    </row>
    <row r="168" spans="1:4" ht="20.25" x14ac:dyDescent="0.25">
      <c r="A168" s="95"/>
      <c r="B168" s="19"/>
      <c r="C168" s="25"/>
      <c r="D168" s="25"/>
    </row>
    <row r="169" spans="1:4" ht="20.25" x14ac:dyDescent="0.25">
      <c r="A169" s="95"/>
      <c r="B169" s="19"/>
      <c r="C169" s="25"/>
      <c r="D169" s="25"/>
    </row>
    <row r="170" spans="1:4" ht="20.25" x14ac:dyDescent="0.25">
      <c r="A170" s="95"/>
      <c r="B170" s="19"/>
      <c r="C170" s="25"/>
      <c r="D170" s="25"/>
    </row>
    <row r="171" spans="1:4" ht="20.25" x14ac:dyDescent="0.25">
      <c r="A171" s="95"/>
      <c r="B171" s="19"/>
      <c r="C171" s="25"/>
      <c r="D171" s="25"/>
    </row>
    <row r="172" spans="1:4" ht="20.25" x14ac:dyDescent="0.25">
      <c r="A172" s="95"/>
      <c r="B172" s="19"/>
      <c r="C172" s="25"/>
      <c r="D172" s="25"/>
    </row>
    <row r="173" spans="1:4" ht="20.25" x14ac:dyDescent="0.25">
      <c r="A173" s="95"/>
      <c r="B173" s="19"/>
      <c r="C173" s="25"/>
      <c r="D173" s="25"/>
    </row>
    <row r="174" spans="1:4" ht="20.25" x14ac:dyDescent="0.25">
      <c r="A174" s="95"/>
      <c r="B174" s="19"/>
      <c r="C174" s="25"/>
      <c r="D174" s="25"/>
    </row>
    <row r="175" spans="1:4" ht="20.25" x14ac:dyDescent="0.25">
      <c r="A175" s="95"/>
      <c r="B175" s="19"/>
      <c r="C175" s="25"/>
      <c r="D175" s="25"/>
    </row>
    <row r="176" spans="1:4" ht="20.25" x14ac:dyDescent="0.25">
      <c r="A176" s="95"/>
      <c r="B176" s="19"/>
      <c r="C176" s="25"/>
      <c r="D176" s="25"/>
    </row>
    <row r="177" spans="1:4" ht="20.25" x14ac:dyDescent="0.25">
      <c r="A177" s="95"/>
      <c r="B177" s="19"/>
      <c r="C177" s="25"/>
      <c r="D177" s="25"/>
    </row>
    <row r="178" spans="1:4" ht="20.25" x14ac:dyDescent="0.25">
      <c r="A178" s="95"/>
      <c r="B178" s="19"/>
      <c r="C178" s="25"/>
      <c r="D178" s="25"/>
    </row>
    <row r="179" spans="1:4" ht="20.25" x14ac:dyDescent="0.25">
      <c r="A179" s="95"/>
      <c r="B179" s="19"/>
      <c r="C179" s="25"/>
      <c r="D179" s="25"/>
    </row>
    <row r="180" spans="1:4" ht="20.25" x14ac:dyDescent="0.25">
      <c r="A180" s="95"/>
      <c r="B180" s="19"/>
      <c r="C180" s="25"/>
      <c r="D180" s="25"/>
    </row>
    <row r="181" spans="1:4" ht="20.25" x14ac:dyDescent="0.25">
      <c r="A181" s="95"/>
      <c r="B181" s="19"/>
      <c r="C181" s="25"/>
      <c r="D181" s="25"/>
    </row>
    <row r="182" spans="1:4" ht="20.25" x14ac:dyDescent="0.25">
      <c r="A182" s="95"/>
      <c r="B182" s="19"/>
      <c r="C182" s="25"/>
      <c r="D182" s="25"/>
    </row>
    <row r="183" spans="1:4" ht="20.25" x14ac:dyDescent="0.25">
      <c r="A183" s="95"/>
      <c r="B183" s="19"/>
      <c r="C183" s="25"/>
      <c r="D183" s="25"/>
    </row>
    <row r="184" spans="1:4" ht="20.25" x14ac:dyDescent="0.25">
      <c r="A184" s="95"/>
      <c r="B184" s="19"/>
      <c r="C184" s="25"/>
      <c r="D184" s="25"/>
    </row>
    <row r="185" spans="1:4" ht="20.25" x14ac:dyDescent="0.25">
      <c r="A185" s="95"/>
      <c r="B185" s="19"/>
      <c r="C185" s="25"/>
      <c r="D185" s="25"/>
    </row>
    <row r="186" spans="1:4" ht="20.25" x14ac:dyDescent="0.25">
      <c r="A186" s="95"/>
      <c r="B186" s="19"/>
      <c r="C186" s="25"/>
      <c r="D186" s="25"/>
    </row>
    <row r="187" spans="1:4" ht="20.25" x14ac:dyDescent="0.25">
      <c r="A187" s="95"/>
      <c r="B187" s="19"/>
      <c r="C187" s="25"/>
      <c r="D187" s="25"/>
    </row>
    <row r="188" spans="1:4" ht="20.25" x14ac:dyDescent="0.25">
      <c r="A188" s="95"/>
      <c r="B188" s="19"/>
      <c r="C188" s="25"/>
      <c r="D188" s="25"/>
    </row>
    <row r="189" spans="1:4" ht="20.25" x14ac:dyDescent="0.25">
      <c r="A189" s="95"/>
      <c r="B189" s="19"/>
      <c r="C189" s="25"/>
      <c r="D189" s="25"/>
    </row>
    <row r="190" spans="1:4" ht="20.25" x14ac:dyDescent="0.25">
      <c r="A190" s="95"/>
      <c r="B190" s="19"/>
      <c r="C190" s="25"/>
      <c r="D190" s="25"/>
    </row>
    <row r="191" spans="1:4" ht="20.25" x14ac:dyDescent="0.25">
      <c r="A191" s="95"/>
      <c r="B191" s="19"/>
      <c r="C191" s="25"/>
      <c r="D191" s="25"/>
    </row>
    <row r="192" spans="1:4" ht="20.25" x14ac:dyDescent="0.25">
      <c r="A192" s="95"/>
      <c r="B192" s="19"/>
      <c r="C192" s="25"/>
      <c r="D192" s="25"/>
    </row>
    <row r="193" spans="1:4" ht="20.25" x14ac:dyDescent="0.25">
      <c r="A193" s="95"/>
      <c r="B193" s="19"/>
      <c r="C193" s="25"/>
      <c r="D193" s="25"/>
    </row>
    <row r="194" spans="1:4" ht="20.25" x14ac:dyDescent="0.25">
      <c r="A194" s="95"/>
      <c r="B194" s="19"/>
      <c r="C194" s="25"/>
      <c r="D194" s="25"/>
    </row>
    <row r="195" spans="1:4" ht="20.25" x14ac:dyDescent="0.25">
      <c r="A195" s="95"/>
      <c r="B195" s="19"/>
      <c r="C195" s="25"/>
      <c r="D195" s="25"/>
    </row>
    <row r="196" spans="1:4" ht="20.25" x14ac:dyDescent="0.25">
      <c r="A196" s="95"/>
      <c r="B196" s="19"/>
      <c r="C196" s="25"/>
      <c r="D196" s="25"/>
    </row>
    <row r="197" spans="1:4" ht="20.25" x14ac:dyDescent="0.25">
      <c r="A197" s="95"/>
      <c r="B197" s="19"/>
      <c r="C197" s="25"/>
      <c r="D197" s="25"/>
    </row>
    <row r="198" spans="1:4" ht="20.25" x14ac:dyDescent="0.25">
      <c r="A198" s="95"/>
      <c r="B198" s="19"/>
      <c r="C198" s="25"/>
      <c r="D198" s="25"/>
    </row>
    <row r="199" spans="1:4" ht="20.25" x14ac:dyDescent="0.25">
      <c r="A199" s="95"/>
      <c r="B199" s="19"/>
      <c r="C199" s="25"/>
      <c r="D199" s="25"/>
    </row>
    <row r="200" spans="1:4" ht="20.25" x14ac:dyDescent="0.25">
      <c r="A200" s="95"/>
      <c r="B200" s="19"/>
      <c r="C200" s="25"/>
      <c r="D200" s="25"/>
    </row>
    <row r="201" spans="1:4" ht="20.25" x14ac:dyDescent="0.25">
      <c r="A201" s="95"/>
      <c r="B201" s="19"/>
      <c r="C201" s="25"/>
      <c r="D201" s="25"/>
    </row>
    <row r="202" spans="1:4" ht="20.25" x14ac:dyDescent="0.25">
      <c r="A202" s="95"/>
      <c r="B202" s="19"/>
      <c r="C202" s="25"/>
      <c r="D202" s="25"/>
    </row>
    <row r="203" spans="1:4" ht="20.25" x14ac:dyDescent="0.25">
      <c r="A203" s="95"/>
      <c r="B203" s="19"/>
      <c r="C203" s="25"/>
      <c r="D203" s="25"/>
    </row>
    <row r="204" spans="1:4" ht="20.25" x14ac:dyDescent="0.25">
      <c r="A204" s="95"/>
      <c r="B204" s="19"/>
      <c r="C204" s="25"/>
      <c r="D204" s="25"/>
    </row>
    <row r="205" spans="1:4" ht="20.25" x14ac:dyDescent="0.25">
      <c r="A205" s="95"/>
      <c r="B205" s="19"/>
      <c r="C205" s="25"/>
      <c r="D205" s="25"/>
    </row>
    <row r="206" spans="1:4" ht="20.25" x14ac:dyDescent="0.25">
      <c r="A206" s="95"/>
      <c r="B206" s="19"/>
      <c r="C206" s="25"/>
      <c r="D206" s="25"/>
    </row>
    <row r="207" spans="1:4" ht="20.25" x14ac:dyDescent="0.25">
      <c r="A207" s="95"/>
      <c r="B207" s="19"/>
      <c r="C207" s="25"/>
      <c r="D207" s="25"/>
    </row>
    <row r="208" spans="1:4" x14ac:dyDescent="0.25">
      <c r="A208" s="75"/>
      <c r="B208" s="19"/>
      <c r="C208" s="19"/>
      <c r="D208" s="19"/>
    </row>
    <row r="209" spans="1:8" ht="20.25" x14ac:dyDescent="0.25">
      <c r="A209" s="75"/>
      <c r="B209" s="21" t="s">
        <v>77</v>
      </c>
      <c r="C209" s="21" t="s">
        <v>125</v>
      </c>
      <c r="D209" s="24" t="s">
        <v>77</v>
      </c>
      <c r="E209" s="24" t="s">
        <v>125</v>
      </c>
    </row>
    <row r="210" spans="1:8" ht="21" x14ac:dyDescent="0.35">
      <c r="A210" s="75"/>
      <c r="B210" s="22" t="s">
        <v>79</v>
      </c>
      <c r="C210" s="22" t="s">
        <v>48</v>
      </c>
      <c r="D210" t="s">
        <v>79</v>
      </c>
      <c r="F210" t="str">
        <f>IF(NOT(ISBLANK(D210)),D210,IF(NOT(ISBLANK(E210)),"     "&amp;E210,FALSE))</f>
        <v>Afectación Económica o presupuestal</v>
      </c>
      <c r="G210" t="s">
        <v>79</v>
      </c>
      <c r="H210" t="str">
        <f>IF(NOT(ISERROR(MATCH(G210,_xlfn.ANCHORARRAY(B221),0))),F223&amp;"Por favor no seleccionar los criterios de impacto",G210)</f>
        <v>❌Por favor no seleccionar los criterios de impacto</v>
      </c>
    </row>
    <row r="211" spans="1:8" ht="21" x14ac:dyDescent="0.35">
      <c r="A211" s="75"/>
      <c r="B211" s="22" t="s">
        <v>79</v>
      </c>
      <c r="C211" s="22" t="s">
        <v>82</v>
      </c>
      <c r="E211" t="s">
        <v>48</v>
      </c>
      <c r="F211" t="str">
        <f t="shared" ref="F211:F221" si="0">IF(NOT(ISBLANK(D211)),D211,IF(NOT(ISBLANK(E211)),"     "&amp;E211,FALSE))</f>
        <v xml:space="preserve">     Afectación menor a 10 SMLMV .</v>
      </c>
    </row>
    <row r="212" spans="1:8" ht="21" x14ac:dyDescent="0.35">
      <c r="A212" s="75"/>
      <c r="B212" s="22" t="s">
        <v>79</v>
      </c>
      <c r="C212" s="22" t="s">
        <v>83</v>
      </c>
      <c r="E212" t="s">
        <v>82</v>
      </c>
      <c r="F212" t="str">
        <f t="shared" si="0"/>
        <v xml:space="preserve">     Entre 10 y 50 SMLMV </v>
      </c>
    </row>
    <row r="213" spans="1:8" ht="21" x14ac:dyDescent="0.35">
      <c r="A213" s="75"/>
      <c r="B213" s="22" t="s">
        <v>79</v>
      </c>
      <c r="C213" s="22" t="s">
        <v>84</v>
      </c>
      <c r="E213" t="s">
        <v>83</v>
      </c>
      <c r="F213" t="str">
        <f t="shared" si="0"/>
        <v xml:space="preserve">     Entre 50 y 100 SMLMV </v>
      </c>
    </row>
    <row r="214" spans="1:8" ht="21" x14ac:dyDescent="0.35">
      <c r="A214" s="75"/>
      <c r="B214" s="22" t="s">
        <v>79</v>
      </c>
      <c r="C214" s="22" t="s">
        <v>85</v>
      </c>
      <c r="E214" t="s">
        <v>84</v>
      </c>
      <c r="F214" t="str">
        <f t="shared" si="0"/>
        <v xml:space="preserve">     Entre 100 y 500 SMLMV </v>
      </c>
    </row>
    <row r="215" spans="1:8" ht="21" x14ac:dyDescent="0.35">
      <c r="A215" s="75"/>
      <c r="B215" s="22" t="s">
        <v>47</v>
      </c>
      <c r="C215" s="22" t="s">
        <v>86</v>
      </c>
      <c r="E215" t="s">
        <v>85</v>
      </c>
      <c r="F215" t="str">
        <f t="shared" si="0"/>
        <v xml:space="preserve">     Mayor a 500 SMLMV </v>
      </c>
    </row>
    <row r="216" spans="1:8" ht="21" x14ac:dyDescent="0.35">
      <c r="A216" s="75"/>
      <c r="B216" s="22" t="s">
        <v>47</v>
      </c>
      <c r="C216" s="22" t="s">
        <v>87</v>
      </c>
      <c r="D216" t="s">
        <v>47</v>
      </c>
      <c r="F216" t="str">
        <f t="shared" si="0"/>
        <v>Pérdida Reputacional</v>
      </c>
    </row>
    <row r="217" spans="1:8" ht="21" x14ac:dyDescent="0.35">
      <c r="A217" s="75"/>
      <c r="B217" s="22" t="s">
        <v>47</v>
      </c>
      <c r="C217" s="22" t="s">
        <v>89</v>
      </c>
      <c r="E217" t="s">
        <v>86</v>
      </c>
      <c r="F217" t="str">
        <f t="shared" si="0"/>
        <v xml:space="preserve">     El riesgo afecta la imagen de alguna área de la organización</v>
      </c>
    </row>
    <row r="218" spans="1:8" ht="21" x14ac:dyDescent="0.35">
      <c r="A218" s="75"/>
      <c r="B218" s="22" t="s">
        <v>47</v>
      </c>
      <c r="C218" s="22" t="s">
        <v>88</v>
      </c>
      <c r="E218" t="s">
        <v>87</v>
      </c>
      <c r="F218" t="str">
        <f t="shared" si="0"/>
        <v xml:space="preserve">     El riesgo afecta la imagen de la entidad internamente, de conocimiento general, nivel interno, de junta dircetiva y accionistas y/o de provedores</v>
      </c>
    </row>
    <row r="219" spans="1:8" ht="21" x14ac:dyDescent="0.35">
      <c r="A219" s="75"/>
      <c r="B219" s="22" t="s">
        <v>47</v>
      </c>
      <c r="C219" s="22" t="s">
        <v>107</v>
      </c>
      <c r="E219" t="s">
        <v>89</v>
      </c>
      <c r="F219" t="str">
        <f t="shared" si="0"/>
        <v xml:space="preserve">     El riesgo afecta la imagen de la entidad con algunos usuarios de relevancia frente al logro de los objetivos</v>
      </c>
    </row>
    <row r="220" spans="1:8" x14ac:dyDescent="0.25">
      <c r="A220" s="75"/>
      <c r="B220" s="23"/>
      <c r="C220" s="23"/>
      <c r="E220" t="s">
        <v>88</v>
      </c>
      <c r="F220" t="str">
        <f t="shared" si="0"/>
        <v xml:space="preserve">     El riesgo afecta la imagen de de la entidad con efecto publicitario sostenido a nivel de sector administrativo, nivel departamental o municipal</v>
      </c>
    </row>
    <row r="221" spans="1:8" x14ac:dyDescent="0.25">
      <c r="A221" s="75"/>
      <c r="B221" s="23" t="str" cm="1">
        <f t="array" ref="B221:B223">_xlfn.UNIQUE(Tabla1[[#All],[Criterios]])</f>
        <v>Criterios</v>
      </c>
      <c r="C221" s="23"/>
      <c r="E221" t="s">
        <v>107</v>
      </c>
      <c r="F221" t="str">
        <f t="shared" si="0"/>
        <v xml:space="preserve">     El riesgo afecta la imagen de la entidad a nivel nacional, con efecto publicitarios sostenible a nivel país</v>
      </c>
    </row>
    <row r="222" spans="1:8" x14ac:dyDescent="0.25">
      <c r="A222" s="75"/>
      <c r="B222" s="23" t="str">
        <v>Afectación Económica o presupuestal</v>
      </c>
      <c r="C222" s="23"/>
    </row>
    <row r="223" spans="1:8" x14ac:dyDescent="0.25">
      <c r="B223" s="23" t="str">
        <v>Pérdida Reputacional</v>
      </c>
      <c r="C223" s="23"/>
      <c r="F223" s="26" t="s">
        <v>127</v>
      </c>
    </row>
    <row r="224" spans="1:8" x14ac:dyDescent="0.25">
      <c r="B224" s="18"/>
      <c r="C224" s="18"/>
      <c r="F224" s="26" t="s">
        <v>128</v>
      </c>
    </row>
    <row r="225" spans="2:4" x14ac:dyDescent="0.25">
      <c r="B225" s="18"/>
      <c r="C225" s="18"/>
    </row>
    <row r="226" spans="2:4" x14ac:dyDescent="0.25">
      <c r="B226" s="18"/>
      <c r="C226" s="18"/>
    </row>
    <row r="227" spans="2:4" x14ac:dyDescent="0.25">
      <c r="B227" s="18"/>
      <c r="C227" s="18"/>
      <c r="D227" s="18"/>
    </row>
    <row r="228" spans="2:4" x14ac:dyDescent="0.25">
      <c r="B228" s="18"/>
      <c r="C228" s="18"/>
      <c r="D228" s="18"/>
    </row>
    <row r="229" spans="2:4" x14ac:dyDescent="0.25">
      <c r="B229" s="18"/>
      <c r="C229" s="18"/>
      <c r="D229" s="18"/>
    </row>
    <row r="230" spans="2:4" x14ac:dyDescent="0.25">
      <c r="B230" s="18"/>
      <c r="C230" s="18"/>
      <c r="D230" s="18"/>
    </row>
    <row r="231" spans="2:4" x14ac:dyDescent="0.25">
      <c r="B231" s="18"/>
      <c r="C231" s="18"/>
      <c r="D231" s="18"/>
    </row>
    <row r="232" spans="2:4" x14ac:dyDescent="0.25">
      <c r="B232" s="18"/>
      <c r="C232" s="18"/>
      <c r="D232" s="18"/>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Activos de información</vt:lpstr>
      <vt:lpstr>R. Seguridad de la Información</vt:lpstr>
      <vt:lpstr>Terminos y definiciones</vt:lpstr>
      <vt:lpstr>Tabla de Controles Anexo A</vt:lpstr>
      <vt:lpstr>Instructivo</vt:lpstr>
      <vt:lpstr>Matriz Calor Inherente</vt:lpstr>
      <vt:lpstr>Matriz Calor Residual</vt:lpstr>
      <vt:lpstr>Tabla probabilidad</vt:lpstr>
      <vt:lpstr>Tabla Impacto</vt:lpstr>
      <vt:lpstr>Tabla Valoración controles</vt:lpstr>
      <vt:lpstr>Opciones Tratamiento</vt:lpstr>
      <vt:lpstr>Lista</vt:lpstr>
      <vt:lpstr>Listas</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Nidia Johanna Leal Melo</cp:lastModifiedBy>
  <cp:lastPrinted>2020-05-13T01:12:22Z</cp:lastPrinted>
  <dcterms:created xsi:type="dcterms:W3CDTF">2020-03-24T23:12:47Z</dcterms:created>
  <dcterms:modified xsi:type="dcterms:W3CDTF">2022-10-03T19:04:28Z</dcterms:modified>
</cp:coreProperties>
</file>